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14655" tabRatio="905" firstSheet="6" activeTab="8"/>
  </bookViews>
  <sheets>
    <sheet name="1.Ifyllnadsanvisningar" sheetId="1" r:id="rId1"/>
    <sheet name="2. Sammandrag" sheetId="2" r:id="rId2"/>
    <sheet name="3. Social- och hälsovård" sheetId="3" r:id="rId3"/>
    <sheet name="4. Förskole-o grundutb. kult." sheetId="4" r:id="rId4"/>
    <sheet name="5. Allmän del o tilläggsdelar" sheetId="5" r:id="rId5"/>
    <sheet name="6. Avdrag och tillägg" sheetId="6" r:id="rId6"/>
    <sheet name="7.Utjämning pga. systemändring" sheetId="7" r:id="rId7"/>
    <sheet name="8. Hemkommunsersättningar" sheetId="8" r:id="rId8"/>
    <sheet name="9. UVM andra stasandelar" sheetId="9" r:id="rId9"/>
    <sheet name="10. Gymnasium" sheetId="10" r:id="rId10"/>
  </sheets>
  <definedNames>
    <definedName name="asukastiheys">'2. Sammandrag'!$T$73:$T$377</definedName>
    <definedName name="ika06v.">'2. Sammandrag'!$H$73:$H$377</definedName>
    <definedName name="ika1315v">'2. Sammandrag'!$K$73:$K$377</definedName>
    <definedName name="ika6574v">'2. Sammandrag'!$M$73:$M$377</definedName>
    <definedName name="ika6v">'2. Sammandrag'!$I$73:$I$377</definedName>
    <definedName name="ika712v">'2. Sammandrag'!$J$73:$J$377</definedName>
    <definedName name="ika7584v">'2. Sammandrag'!$N$73:$N$377</definedName>
    <definedName name="ika764v">'2. Sammandrag'!$L$73:$L$377</definedName>
    <definedName name="ika85v">'2. Sammandrag'!$O$73:$O$377</definedName>
    <definedName name="jarjmuut">'2. Sammandrag'!$AQ$73:$AQ$377</definedName>
    <definedName name="jarjmuut_tas" localSheetId="1">'2. Sammandrag'!$AQ$73:$AQ$377</definedName>
    <definedName name="Kaksikielisyys">'2. Sammandrag'!$V$73:$V$377</definedName>
    <definedName name="kkkpo">'2. Sammandrag'!$BL$73:$BL$377</definedName>
    <definedName name="kompyht">'2. Sammandrag'!$BK$73:$BK$377</definedName>
    <definedName name="kuntanimi">'2. Sammandrag'!$G$73:$G$377</definedName>
    <definedName name="lskerroin">'2. Sammandrag'!$AC$73:$AC$377</definedName>
    <definedName name="phkerroin">'2. Sammandrag'!$Z$73:$Z$377</definedName>
    <definedName name="ruotsink615v">'2. Sammandrag'!$Q$73:$Q$377</definedName>
    <definedName name="Saaristo">'2. Sammandrag'!$U$73:$U$377</definedName>
    <definedName name="Sairastavuuskerroin">'2. Sammandrag'!$AM$73:$AM$377</definedName>
    <definedName name="syrjaisyyskerroin">'2. Sammandrag'!$AP$73:$AP$377</definedName>
    <definedName name="tasaus">'2. Sammandrag'!$AR$73:$AR$377</definedName>
    <definedName name="tpojarj">'2. Sammandrag'!$AS$73:$AS$377</definedName>
    <definedName name="_xlnm.Print_Area" localSheetId="7">'8. Hemkommunsersättningar'!$E$10:$L$164</definedName>
    <definedName name="_xlnm.Print_Area" localSheetId="8">'9. UVM andra stasandelar'!$A$1:$K$88</definedName>
    <definedName name="tyottomat">'2. Sammandrag'!$AK$73:$AK$377</definedName>
    <definedName name="tyottomyyskerroin">'2. Sammandrag'!$AL$73:$AL$377</definedName>
    <definedName name="tyovoima">'2. Sammandrag'!$AJ$73:$AJ$377</definedName>
    <definedName name="vakiluku">'2. Sammandrag'!$P$73:$P$377</definedName>
    <definedName name="Vammaiskerroin">'2. Sammandrag'!$AI$73:$AI$377</definedName>
    <definedName name="vierask615v">'2. Sammandrag'!$R$73:$R$377</definedName>
    <definedName name="yasl">'2. Sammandrag'!$AT$73:$AT$377</definedName>
    <definedName name="yasm311208">'2. Sammandrag'!$BE$73:$BE$377</definedName>
    <definedName name="yasm311211">'2. Sammandrag'!$BF$73:$BF$377</definedName>
    <definedName name="yasmk">'2. Sammandrag'!$BH$73:$BH$377</definedName>
    <definedName name="yasmm">'2. Sammandrag'!$BG$73:$BG$377</definedName>
    <definedName name="yast">'2. Sammandrag'!$AZ$73:$AZ$377</definedName>
    <definedName name="ykaks">'2. Sammandrag'!$BC$73:$BC$377</definedName>
    <definedName name="ymkm">'2. Sammandrag'!$AY$73:$AY$377</definedName>
    <definedName name="ysaamk">'2. Sammandrag'!$BD$73:$BD$377</definedName>
    <definedName name="ysaamm">'2. Sammandrag'!$BI$73:$BI$377</definedName>
    <definedName name="ysaamo">'2. Sammandrag'!$BJ$73:$BJ$377</definedName>
    <definedName name="ysaaokv">'2. Sammandrag'!$AW$73:$AW$377</definedName>
    <definedName name="ysaar">'2. Sammandrag'!$AU$73:$AU$377</definedName>
    <definedName name="ysaarvae">'2. Sammandrag'!$AV$73:$AV$377</definedName>
    <definedName name="ysyrj">'2. Sammandrag'!$AX$73:$AX$377</definedName>
    <definedName name="ytaaj">'2. Sammandrag'!$BA$73:$BA$377</definedName>
    <definedName name="ytaaos">'2. Sammandrag'!$BB$73:$BB$377</definedName>
  </definedNames>
  <calcPr fullCalcOnLoad="1"/>
</workbook>
</file>

<file path=xl/comments10.xml><?xml version="1.0" encoding="utf-8"?>
<comments xmlns="http://schemas.openxmlformats.org/spreadsheetml/2006/main">
  <authors>
    <author>Lehtonen Sanna</author>
  </authors>
  <commentList>
    <comment ref="H35" authorId="0">
      <text>
        <r>
          <rPr>
            <b/>
            <sz val="9"/>
            <rFont val="Tahoma"/>
            <family val="2"/>
          </rPr>
          <t>Lehtonen Sanna:</t>
        </r>
        <r>
          <rPr>
            <sz val="9"/>
            <rFont val="Tahoma"/>
            <family val="2"/>
          </rPr>
          <t xml:space="preserve">
Lukiokoulutuksen rahoituksen määrää laskettaessa käytetään kahden laskentapäivän oppilasmäärien kuukausilla painotettua keskiarvioa (kevät 7/12 ja syksy 5/12). Aineopiskelijoiden lukumäärä otetaan huomioon painottamattomana. Laskettaessa vuoden 2013 rahoitusta laskentapäivät lukiokoulutuksessa ovat 20.1.2013 ja 20.9.2013.</t>
        </r>
      </text>
    </comment>
  </commentList>
</comments>
</file>

<file path=xl/comments2.xml><?xml version="1.0" encoding="utf-8"?>
<comments xmlns="http://schemas.openxmlformats.org/spreadsheetml/2006/main">
  <authors>
    <author>Lehtonen Sanna</author>
  </authors>
  <commentList>
    <comment ref="B13" authorId="0">
      <text>
        <r>
          <rPr>
            <b/>
            <sz val="9"/>
            <rFont val="Tahoma"/>
            <family val="2"/>
          </rPr>
          <t>Lehtonen Sanna:</t>
        </r>
        <r>
          <rPr>
            <sz val="9"/>
            <rFont val="Tahoma"/>
            <family val="2"/>
          </rPr>
          <t xml:space="preserve">
Kunnan asukas ja asukasmäärä sekä ikäluokka määräytyvät väestötietolain 18 §:n mukaisesti varainhoitovuotta edeltävää vuotta edeltäneen vuoden lopun tilanteen mukaan.</t>
        </r>
      </text>
    </comment>
    <comment ref="B16" authorId="0">
      <text>
        <r>
          <rPr>
            <b/>
            <sz val="9"/>
            <rFont val="Tahoma"/>
            <family val="2"/>
          </rPr>
          <t>Lehtonen Sanna:</t>
        </r>
        <r>
          <rPr>
            <sz val="9"/>
            <rFont val="Tahoma"/>
            <family val="2"/>
          </rPr>
          <t xml:space="preserve">
Kunnan peruspalvelujen valtionosuuden laskemisen perusteina (valtionosuusperusteet) käytetään:
1) yleisen osan määräytymisperusteita;
2) sosiaali- ja terveydenhuollon laskennallisia kustannuksia;
3) esi- ja perusopetuksen sekä yleisten kirjastojen laskennallisia kustannuksia;
4) taiteen perusopetuksen ja yleisen kulttuuritoimen määräytymisperusteita; sekä
5) erityisen harvan asutuksen, saaristokunnan sekä saamelaisten kotiseutualueen kunnan lisäosien määräytymisperusteita.
Kunnalle myönnetään valtionosuutta euromäärä, joka saadaan, kun kunnan sosiaali- ja terveydenhuollon, esi- ja perusopetuksen sekä yleisten kirjastojen laskennalliset kustannukset sekä kunnan taiteen perusopetuksen ja yleisen kulttuuritoimen määräytymisperusteet lasketaan yhteen ja saadusta summasta vähennetään kunnan omarahoitusosuus. Näin saatuun euromäärään lisätään kunnan yleinen osa sekä erityisen harvan asutuksen, saaristokunnan sekä saamelaisten kotiseutualueen kunnan lisäosat.
Myös esi- ja perusopetuksen kotikuntakorvausjärjestelmä ja verotuloihin perustuva valtionosuuden tasaus ovat osa kunnan peruspalvelujen valtionosuutta. Lisäksi kunnan peruspalvelujen valtionosuuteen sisältyy järjestelmämuutoksen tasaus ja valtionosuudessa huomioon otettavat lisäykset ja vähennykset, mm. veromenetysten kompensaatio.
</t>
        </r>
      </text>
    </comment>
    <comment ref="B40" authorId="0">
      <text>
        <r>
          <rPr>
            <b/>
            <sz val="9"/>
            <rFont val="Tahoma"/>
            <family val="2"/>
          </rPr>
          <t>Lehtonen Sanna:</t>
        </r>
        <r>
          <rPr>
            <sz val="9"/>
            <rFont val="Tahoma"/>
            <family val="2"/>
          </rPr>
          <t xml:space="preserve">
Opetus- ja kulttuuritoimen rahoituslain mukaisen rahoituksen euromääräisesti merkittävin osa on koulutuksen ylläpitäjille myönnettävä yksikköhintarahoitus
     -  lukiokoulutukseen,
     -  ammatilliseen koulutukseen ja
     -  ammattikorkeakouluille.
Lisäksi opetus- ja kulttuuriministeriö myöntää perusopetukseen oppilaskohtaista lisärahoitusta (mm. pidennetty oppivelvollisuus, lisäopetus) ja rahoituksen muuhun opetus- ja kulttuuritoimintaan (mm. kansalaisopistot, teatterit, nuorisotyö).
</t>
        </r>
      </text>
    </comment>
    <comment ref="B42" authorId="0">
      <text>
        <r>
          <rPr>
            <b/>
            <sz val="9"/>
            <rFont val="Tahoma"/>
            <family val="2"/>
          </rPr>
          <t>Lehtonen Sanna:</t>
        </r>
        <r>
          <rPr>
            <sz val="9"/>
            <rFont val="Tahoma"/>
            <family val="2"/>
          </rPr>
          <t xml:space="preserve">
Kunnan valtionosuutta voidaan korottaa hakemuksesta harkinnanvaraisesti valtion talousarvion rajoissa, jos kunta ensisijaisesti poikkeuksellisten tai tilapäisten kunnallistaloudellisten vaikeuksien vuoksi on lisätyn taloudellisen tuen tarpeessa. Taloudellisen tuen tarpeeseen vaikuttavina seikkoina otetaan huomioon myös paikalliset erityisolosuhteet.
Valtionosuuden korotuksen myöntämisen ehtona on, että kunta on hyväksynyt suunnitelman taloutensa tasapainottamiseksi toteutettavista toimenpiteistä. Suunnitelma tulee liittää valtionosuuden korotusta koskevaan hakemukseen. Valtionosuuden korotuksen myöntämiselle ja käytölle voidaan asettaa myös muita kunnan talouteen liittyviä ehtoja. Valtionosuuden korotus voidaan seuraavina vuosina jättää myöntämättä tai se voidaan myöntää alennettuna, jos suunnitelmaa tai asetettuja ehtoja ei ole noudatettu.
Harkinnanvaraisten valtionosuuden korotusten yhteismäärää vastaava euromäärä vähennetään kunnille maksettavista valtionosuuksista. Vähennys on kaikissa kunnissa asukasta kohden yhtä suuri.
</t>
        </r>
      </text>
    </comment>
    <comment ref="E29" authorId="0">
      <text>
        <r>
          <rPr>
            <b/>
            <sz val="9"/>
            <rFont val="Tahoma"/>
            <family val="2"/>
          </rPr>
          <t>Lehtonen Sanna:</t>
        </r>
        <r>
          <rPr>
            <sz val="9"/>
            <rFont val="Tahoma"/>
            <family val="2"/>
          </rPr>
          <t xml:space="preserve">
Elatustuen takaisinperinnän palautus maksetaan valtionosuusmaksatuksen yhteydessä, mutta kirjanpidossa se tulee erottaa kunnan peruspalvelujen valtionosuuden kokonaisuudesta (kts. Kirjanpitolautakunnan kuntajaoston lausunto 93).</t>
        </r>
      </text>
    </comment>
  </commentList>
</comments>
</file>

<file path=xl/comments3.xml><?xml version="1.0" encoding="utf-8"?>
<comments xmlns="http://schemas.openxmlformats.org/spreadsheetml/2006/main">
  <authors>
    <author>Lehtonen Sanna</author>
  </authors>
  <commentList>
    <comment ref="F12" authorId="0">
      <text>
        <r>
          <rPr>
            <b/>
            <sz val="9"/>
            <rFont val="Tahoma"/>
            <family val="2"/>
          </rPr>
          <t>Lehtonen Sanna:</t>
        </r>
        <r>
          <rPr>
            <sz val="9"/>
            <rFont val="Tahoma"/>
            <family val="2"/>
          </rPr>
          <t xml:space="preserve">
Ikärakenne 31.12. vuonna t-2
Esim. vuonna 2013 ikärakenne 31.12.2011</t>
        </r>
      </text>
    </comment>
    <comment ref="E28" authorId="0">
      <text>
        <r>
          <rPr>
            <b/>
            <sz val="9"/>
            <rFont val="Tahoma"/>
            <family val="2"/>
          </rPr>
          <t>Lehtonen Sanna:</t>
        </r>
        <r>
          <rPr>
            <sz val="9"/>
            <rFont val="Tahoma"/>
            <family val="2"/>
          </rPr>
          <t xml:space="preserve">
Kunnan työttömyyskerroin lasketaan jakamalla kunnan työttömien osuus kunnan työvoimasta koko maan vastaavalla osuudella.
Kerrointa laskettaessa käytetään työ- ja elinkeinoministeriön työnvälitystilaston tietoa varainhoitovuotta edeltävää vuotta edeltäneen vuoden työttömien osuudesta työvoimasta.
</t>
        </r>
      </text>
    </comment>
    <comment ref="H29" authorId="0">
      <text>
        <r>
          <rPr>
            <b/>
            <sz val="9"/>
            <rFont val="Tahoma"/>
            <family val="2"/>
          </rPr>
          <t>Lehtonen Sanna:</t>
        </r>
        <r>
          <rPr>
            <sz val="9"/>
            <rFont val="Tahoma"/>
            <family val="2"/>
          </rPr>
          <t xml:space="preserve">
Kunnan työttömyyskerroin lasketaan jakamalla kunnan työttömien osuus kunnan työvoimasta koko maan vastaavalla osuudella.
Kerrointa laskettaessa käytetään työ- ja elinkeinoministeriön työnvälitystilaston tietoa varainhoitovuotta edeltävää vuotta edeltäneen vuoden työttömien osuudesta työvoimasta.
</t>
        </r>
      </text>
    </comment>
    <comment ref="A54" authorId="0">
      <text>
        <r>
          <rPr>
            <b/>
            <sz val="9"/>
            <rFont val="Tahoma"/>
            <family val="2"/>
          </rPr>
          <t>Lehtonen Sanna:</t>
        </r>
        <r>
          <rPr>
            <sz val="9"/>
            <rFont val="Tahoma"/>
            <family val="2"/>
          </rPr>
          <t xml:space="preserve">
Kunnan sosiaali- ja terveydenhuollon laskennalliset kustannukset saadaan laskemalla yhteen erikseen laskettavat kunnan sosiaalihuollon ja terveydenhuollon laskennalliset kustannukset ja kertomalla summa syrjäisyyskertoimella, jos kunnalle on vahvistettu syrjäisyyskerroin.</t>
        </r>
      </text>
    </comment>
    <comment ref="C24" authorId="0">
      <text>
        <r>
          <rPr>
            <b/>
            <sz val="9"/>
            <rFont val="Tahoma"/>
            <family val="2"/>
          </rPr>
          <t>Lehtonen Sanna:</t>
        </r>
        <r>
          <rPr>
            <sz val="9"/>
            <rFont val="Tahoma"/>
            <family val="2"/>
          </rPr>
          <t xml:space="preserve">
Työttömyyden perusteella määräytyvät kunnan laskennalliset kustannukset lasketaan kertomalla asukasta kohden määritelty työttömyyskertoimen perushinta kunnan asukasmäärällä ja työttömyyskertoimella ja lisäämällä näin saatuun tuloon tulo, joka saadaan kertomalla kunnan työttömien lukumäärä työttömien määrän perushinnalla.</t>
        </r>
      </text>
    </comment>
    <comment ref="C20" authorId="0">
      <text>
        <r>
          <rPr>
            <b/>
            <sz val="9"/>
            <rFont val="Tahoma"/>
            <family val="2"/>
          </rPr>
          <t>Lehtonen Sanna:</t>
        </r>
        <r>
          <rPr>
            <sz val="9"/>
            <rFont val="Tahoma"/>
            <family val="2"/>
          </rPr>
          <t xml:space="preserve">
Lastensuojelun tarpeen perusteella määräytyvät kunnan laskennalliset kustannukset lasketaan kertomalla lastensuojelun perushinta kunnan asukasmäärällä ja lastensuojelukertoimella.</t>
        </r>
      </text>
    </comment>
    <comment ref="C22" authorId="0">
      <text>
        <r>
          <rPr>
            <b/>
            <sz val="9"/>
            <rFont val="Tahoma"/>
            <family val="2"/>
          </rPr>
          <t>Lehtonen Sanna:</t>
        </r>
        <r>
          <rPr>
            <sz val="9"/>
            <rFont val="Tahoma"/>
            <family val="2"/>
          </rPr>
          <t xml:space="preserve">
Vammaisten henkilöiden lukumäärän perusteella määräytyvät kunnan laskennalliset kustannukset saadaan kertomalla vammaisuuden perushinta kunnan asukasmäärällä ja vammaiskertoimella.</t>
        </r>
      </text>
    </comment>
    <comment ref="B34" authorId="0">
      <text>
        <r>
          <rPr>
            <b/>
            <sz val="9"/>
            <rFont val="Tahoma"/>
            <family val="2"/>
          </rPr>
          <t>Lehtonen Sanna:</t>
        </r>
        <r>
          <rPr>
            <sz val="9"/>
            <rFont val="Tahoma"/>
            <family val="2"/>
          </rPr>
          <t xml:space="preserve">
Kunnan terveydenhuollon laskennalliset kustannukset saadaan laskemalla yhteen ikäluokkaan perustuvat laskennalliset kustannukset ja sairastavuuden perusteella lasketut laskennalliset kustannukset.
</t>
        </r>
      </text>
    </comment>
    <comment ref="C44" authorId="0">
      <text>
        <r>
          <rPr>
            <b/>
            <sz val="9"/>
            <rFont val="Tahoma"/>
            <family val="2"/>
          </rPr>
          <t>Lehtonen Sanna:</t>
        </r>
        <r>
          <rPr>
            <sz val="9"/>
            <rFont val="Tahoma"/>
            <family val="2"/>
          </rPr>
          <t xml:space="preserve">
Sairastavuuden perusteella määräytyvät laskennalliset kustannukset saadaan kertomalla asukasta kohden määritelty sairastavuuden perushinta kunnan asukasmäärällä ja sairastavuuskertoimella.</t>
        </r>
      </text>
    </comment>
    <comment ref="B11" authorId="0">
      <text>
        <r>
          <rPr>
            <b/>
            <sz val="9"/>
            <rFont val="Tahoma"/>
            <family val="2"/>
          </rPr>
          <t>Lehtonen Sanna:</t>
        </r>
        <r>
          <rPr>
            <sz val="9"/>
            <rFont val="Tahoma"/>
            <family val="2"/>
          </rPr>
          <t xml:space="preserve">
Kunnan sosiaalihuollon laskennalliset kustannukset saadaan laskemalla yhteen tulot, jotka saadaan kertomalla sosiaalihuollon ikäluokittaiset perushinnat asianomaisiin ikäluokkiin kuuluvien kunnan asukkaiden määrillä. Kunnan 0–6-vuotiaiden osalta saatu tulo kerrotaan päivähoitokertoimella. Näin saatuun summaan lisätään kunnan työttömyyden, vammaisuuden ja lastensuojelun perusteella määritellyt laskennalliset kustannukset.</t>
        </r>
      </text>
    </comment>
    <comment ref="G12" authorId="0">
      <text>
        <r>
          <rPr>
            <b/>
            <sz val="9"/>
            <rFont val="Tahoma"/>
            <family val="2"/>
          </rPr>
          <t>Lehtonen Sanna:</t>
        </r>
        <r>
          <rPr>
            <sz val="9"/>
            <rFont val="Tahoma"/>
            <family val="2"/>
          </rPr>
          <t xml:space="preserve">
Valtioneuvoston asetuksella säädetään vuosittain seuraavaa varainhoitovuotta varten kunnan peruspalvelujen valtionosuuden laskennassa käytettävistä perushinnoista. 
Perushintoja säädettäessä otetaan huomioon valtionosuustehtävien laajuuden ja laadun arvioidut muutokset, esimerkiksi kunnille annettavien uusien tehtävien vaikutus valtionosuusrahoitukseen, ja kustannustason arvioidut muutokset eli nk. indeksikorotus, joka vuodelle 2013 on 2,7 prosenttia.
</t>
        </r>
      </text>
    </comment>
    <comment ref="H12" authorId="0">
      <text>
        <r>
          <rPr>
            <b/>
            <sz val="9"/>
            <rFont val="Tahoma"/>
            <family val="2"/>
          </rPr>
          <t>Lehtonen Sanna:</t>
        </r>
        <r>
          <rPr>
            <sz val="9"/>
            <rFont val="Tahoma"/>
            <family val="2"/>
          </rPr>
          <t xml:space="preserve">
Päivähoitokerroin lasketaan jakamalla kunnan palvelu- ja jalostusaloilla toimivan kunnan työllisen työvoiman ja kunnan koko työllisen työvoiman osamäärä koko maan vastaavalla osamäärällä.
Kerrointa määriteltäessä käytetään Tilastokeskuksen työssäkäyntitietoja, jotka perustuvat kolme vuotta ennen varainhoitovuotta alkaneen vuoden tietoihin.
</t>
        </r>
      </text>
    </comment>
    <comment ref="H44" authorId="0">
      <text>
        <r>
          <rPr>
            <b/>
            <sz val="9"/>
            <rFont val="Tahoma"/>
            <family val="2"/>
          </rPr>
          <t>Lehtonen Sanna:</t>
        </r>
        <r>
          <rPr>
            <sz val="9"/>
            <rFont val="Tahoma"/>
            <family val="2"/>
          </rPr>
          <t xml:space="preserve">
Sairastavuuskerroin lasketaan työkyvyttömyyseläkkeellä olevien 16–54-vuotiaiden ikä- ja sukupuolivakioidun osuuden perusteella. Jos kunnan 16–54-vuotiaiden ikä ja sukupuolivakioitu työkyvyttömyyseläkeläisten määrä suhteessa kunnan 16–54-vuotiaisiin asukkaisiin on sama kuin koko maassa, kerroin on yksi. Jos mainittu kunnan työkyvyttömyyseläkkeellä olevien ja 16–54-vuotiaiden lukumäärän suhde ylittää koko maan keskiarvon, korotetaan kerrointa, ja jos suhde alittaa koko maan keskiarvon, alennetaan kerrointa siten, että kerroin vastaa kunnan ja koko maan eroa.
Kerrointa määriteltäessä käytetään Eläketurvakeskuksen tilaston tietoja työkyvyttömyyseläkkeellä olevien määrästä neljä vuotta ennen varainhoitovuotta alkaneella kolmivuotisjaksolla.
</t>
        </r>
      </text>
    </comment>
    <comment ref="C35" authorId="0">
      <text>
        <r>
          <rPr>
            <b/>
            <sz val="9"/>
            <rFont val="Tahoma"/>
            <family val="2"/>
          </rPr>
          <t>Lehtonen Sanna:</t>
        </r>
        <r>
          <rPr>
            <sz val="9"/>
            <rFont val="Tahoma"/>
            <family val="2"/>
          </rPr>
          <t xml:space="preserve">
Ikäluokkiin perustuvat laskennalliset kustannukset saadaan kertomalla terveydenhuollon ikäluokittaiset perushinnat asianomaisiin ikäluokkiin kuuluvien kunnan asukkaiden määrillä. </t>
        </r>
      </text>
    </comment>
    <comment ref="F36" authorId="0">
      <text>
        <r>
          <rPr>
            <b/>
            <sz val="9"/>
            <rFont val="Tahoma"/>
            <family val="2"/>
          </rPr>
          <t>Lehtonen Sanna:</t>
        </r>
        <r>
          <rPr>
            <sz val="9"/>
            <rFont val="Tahoma"/>
            <family val="2"/>
          </rPr>
          <t xml:space="preserve">
Ikärakenne 31.12. vuonna t-2
Esim. vuonna 2013 ikärakenne 31.12.2011</t>
        </r>
      </text>
    </comment>
    <comment ref="E52" authorId="0">
      <text>
        <r>
          <rPr>
            <b/>
            <sz val="9"/>
            <rFont val="Tahoma"/>
            <family val="2"/>
          </rPr>
          <t>Lehtonen Sanna:</t>
        </r>
        <r>
          <rPr>
            <sz val="9"/>
            <rFont val="Tahoma"/>
            <family val="2"/>
          </rPr>
          <t xml:space="preserve">
Kunnan syrjäisyyskerroin määräytyy syrjäisyysluvun perusteella. Kunnan syrjäisyyskerroin on syrjäisyysluvun perusteella seuraava:
Syrjäisyysluku = Syrjäisyyskerroin 
0,50–0,99 = 1,05 
1,00–1,49 = 1,08 
vähintään 1,50 = 1,17
Jos saaristokunnan asukkaista vähintään puolet asuu ilman kiinteää tieyhteyttä mantereeseen, kunnan syrjäisyyskerroin on 1,10. Jos kunta olisi oikeutettu myös 2 momentissa tarkoitettuun syrjäisyyskertoimeen, kunnan syrjäisyyskerroin määritellään sen mukaan, kumpi niistä on kunnalle edullisempi.
</t>
        </r>
      </text>
    </comment>
    <comment ref="H20" authorId="0">
      <text>
        <r>
          <rPr>
            <b/>
            <sz val="9"/>
            <rFont val="Tahoma"/>
            <family val="2"/>
          </rPr>
          <t>Lehtonen Sanna:</t>
        </r>
        <r>
          <rPr>
            <sz val="9"/>
            <rFont val="Tahoma"/>
            <family val="2"/>
          </rPr>
          <t xml:space="preserve">
Päivähoitokerroin lasketaan jakamalla kunnan palvelu- ja jalostusaloilla toimivan kunnan työllisen työvoiman ja kunnan koko työllisen työvoiman osamäärä koko maan vastaavalla osamäärällä.
Kerrointa määriteltäessä käytetään Tilastokeskuksen työssäkäyntitietoja, jotka perustuvat kolme vuotta ennen varainhoitovuotta alkaneen vuoden tietoihin.
</t>
        </r>
      </text>
    </comment>
    <comment ref="H22" authorId="0">
      <text>
        <r>
          <rPr>
            <b/>
            <sz val="9"/>
            <rFont val="Tahoma"/>
            <family val="2"/>
          </rPr>
          <t>Lehtonen Sanna:</t>
        </r>
        <r>
          <rPr>
            <sz val="9"/>
            <rFont val="Tahoma"/>
            <family val="2"/>
          </rPr>
          <t xml:space="preserve">
Päivähoitokerroin lasketaan jakamalla kunnan palvelu- ja jalostusaloilla toimivan kunnan työllisen työvoiman ja kunnan koko työllisen työvoiman osamäärä koko maan vastaavalla osamäärällä.
Kerrointa määriteltäessä käytetään Tilastokeskuksen työssäkäyntitietoja, jotka perustuvat kolme vuotta ennen varainhoitovuotta alkaneen vuoden tietoihin.
</t>
        </r>
      </text>
    </comment>
  </commentList>
</comments>
</file>

<file path=xl/comments4.xml><?xml version="1.0" encoding="utf-8"?>
<comments xmlns="http://schemas.openxmlformats.org/spreadsheetml/2006/main">
  <authors>
    <author>Lehtonen Sanna</author>
  </authors>
  <commentList>
    <comment ref="D23" authorId="0">
      <text>
        <r>
          <rPr>
            <b/>
            <sz val="9"/>
            <rFont val="Tahoma"/>
            <family val="2"/>
          </rPr>
          <t>Lehtonen Sanna:</t>
        </r>
        <r>
          <rPr>
            <sz val="9"/>
            <rFont val="Tahoma"/>
            <family val="2"/>
          </rPr>
          <t xml:space="preserve">
Kunnille, joiden asukastiheys on alle 40, esi- ja perusopetuksen perushintaa korotetaan euromäärällä, joka saadaan kertomalla perushinta kertoimella, joka saadaan luvun 0,1 ja asukastiheyden korotustekijän tulona. Asukastiheyden korotustekijä saadaan luvun 40 luonnollisen logaritmin ja kunnan asukastiheyden luonnollisen logaritmin erotuksena. Lisäksi kunnille, joiden asukastiheys on alle neljä, esi- ja perusopetuksen perushintaa korotetaan kertoimella, joka saadaan asukastiheyden korotustekijän ja luvun 0,017 tulona. Jos kuitenkin kunnan asukastiheys on yli kolme mutta alle neljä, edellä saatu tulo kerrotaan luvun neljä ja kunnan asukastiheyden erotuksella.
Asukastiheydellä tarkoitetaan kunnan asukasmäärää maaneliökilometrillä varainhoitovuotta edeltävää vuotta edeltäneen vuoden lopussa.</t>
        </r>
      </text>
    </comment>
    <comment ref="D26" authorId="0">
      <text>
        <r>
          <rPr>
            <b/>
            <sz val="9"/>
            <rFont val="Tahoma"/>
            <family val="2"/>
          </rPr>
          <t>Lehtonen Sanna:</t>
        </r>
        <r>
          <rPr>
            <sz val="9"/>
            <rFont val="Tahoma"/>
            <family val="2"/>
          </rPr>
          <t xml:space="preserve">
Esi- ja perusopetuksen perushintaa korotetaan lisäksi erikseen euromäärällä, joka saadaan kertomalla perushinta kaksikielisen kunnan osalta luvulla 0,04.
Kaksikielisellä kunnalla tarkoitetaan kielilain (423/2003) 5 §:ssä tarkoitettua kaksikielistä kuntaa.</t>
        </r>
      </text>
    </comment>
    <comment ref="D27" authorId="0">
      <text>
        <r>
          <rPr>
            <b/>
            <sz val="9"/>
            <rFont val="Tahoma"/>
            <family val="2"/>
          </rPr>
          <t>Lehtonen Sanna:</t>
        </r>
        <r>
          <rPr>
            <sz val="9"/>
            <rFont val="Tahoma"/>
            <family val="2"/>
          </rPr>
          <t xml:space="preserve">
Esi- ja perusopetuksen perushintaa korotetaan lisäksi erikseen euromäärällä, joka saadaan kertomalla perushinta saaristokunnalle, jossa vähintään puolet asukkaista asuu ilman kiinteää tieyhteyttä mantereeseen, luvulla 0,25 sekä muille saaristokunnille luvulla 0,06.
Saaristokunnalla tarkoitetaan saariston kehityksen edistämisestä annetun lain (494/1981) 9 §:ssä tarkoitettua kuntaa.</t>
        </r>
      </text>
    </comment>
    <comment ref="D30" authorId="0">
      <text>
        <r>
          <rPr>
            <b/>
            <sz val="9"/>
            <rFont val="Tahoma"/>
            <family val="2"/>
          </rPr>
          <t>Lehtonen Sanna:</t>
        </r>
        <r>
          <rPr>
            <sz val="9"/>
            <rFont val="Tahoma"/>
            <family val="2"/>
          </rPr>
          <t xml:space="preserve">
Esi- ja perusopetuksen perushintaa korotetaan lisäksi erikseen euromäärällä, joka saadaan kertomalla perushinta kunnan vieraskielisyyden osalta kertoimella, joka saadaan jakamalla vieraskielisten 6–15-vuotiaiden asukasmäärä kunnan 6–15-vuotiaiden määrällä ja kertomalla osamäärä luvulla 0,2.
Vieraskielisellä tarkoitetaan henkilöä, joka on ilmoittanut väestötietolain (507/1993) 2 §:ssä tarkoitettuun väestötietojärjestelmään äidinkielekseen muun kielen kuin suomen, ruotsin tai saamen kielen.
</t>
        </r>
      </text>
    </comment>
    <comment ref="B12" authorId="0">
      <text>
        <r>
          <rPr>
            <b/>
            <sz val="9"/>
            <rFont val="Tahoma"/>
            <family val="2"/>
          </rPr>
          <t>Lehtonen Sanna:</t>
        </r>
        <r>
          <rPr>
            <sz val="9"/>
            <rFont val="Tahoma"/>
            <family val="2"/>
          </rPr>
          <t xml:space="preserve">
Kunnan esi- ja perusopetuksen laskennalliset kustannukset saadaan kertomalla esi- ja perusopetuksen perushinta luvulla 0,77, lisäämällä tuloon esi- ja perusopetuksen perushintaan tehtävät korotukset ja kertomalla näin saatu euromäärä kunnan 6–15-vuotiaiden määrällä. Kunnan 6-vuotiaiden määrä otetaan huomioon kertomalla se luvulla 0,91.
</t>
        </r>
      </text>
    </comment>
    <comment ref="C22" authorId="0">
      <text>
        <r>
          <rPr>
            <b/>
            <sz val="9"/>
            <rFont val="Tahoma"/>
            <family val="2"/>
          </rPr>
          <t>Lehtonen Sanna:</t>
        </r>
        <r>
          <rPr>
            <sz val="9"/>
            <rFont val="Tahoma"/>
            <family val="2"/>
          </rPr>
          <t xml:space="preserve">
Esi- ja perusopetuksen perushintaan tehtävät korotukset lasketaan erikseen kunnan asukastiheyden, kaksikielisyyden ja saaristoisuuden sekä 13–15-vuotiaiden, ruotsinkielisten 6–15-vuotiaiden sekä vieraskielisten 6–15-vuotiaiden asukkaiden osuuden perusteella.
</t>
        </r>
      </text>
    </comment>
    <comment ref="D25" authorId="0">
      <text>
        <r>
          <rPr>
            <b/>
            <sz val="9"/>
            <rFont val="Tahoma"/>
            <family val="2"/>
          </rPr>
          <t>Lehtonen Sanna:</t>
        </r>
        <r>
          <rPr>
            <sz val="9"/>
            <rFont val="Tahoma"/>
            <family val="2"/>
          </rPr>
          <t xml:space="preserve">
Esi- ja perusopetuksen perushintaa korotetaan lisäksi erikseen euromäärällä, joka saadaan kertomalla perushinta 13–15-vuotiaiden osuuteen perustuvalla kertoimella. Kerroin saadaan jakamalla kunnan 13–15-vuotiaiden määrä kunnan 6–15-vuotiaiden määrällä ja kertomalla osamäärä luvulla 0,30.</t>
        </r>
      </text>
    </comment>
    <comment ref="D29" authorId="0">
      <text>
        <r>
          <rPr>
            <b/>
            <sz val="9"/>
            <rFont val="Tahoma"/>
            <family val="2"/>
          </rPr>
          <t>Lehtonen Sanna:</t>
        </r>
        <r>
          <rPr>
            <sz val="9"/>
            <rFont val="Tahoma"/>
            <family val="2"/>
          </rPr>
          <t xml:space="preserve">
Esi- ja perusopetuksen perushintaa korotetaan lisäksi erikseen euromäärällä, joka saadaan kertomalla perushinta ruotsinkielisyyteen perustuvalla kertoimella. Kerroin saadaan jakamalla ruotsinkielisten 6–15-vuotiaiden asukasmäärä kunnan 6–15-vuotiaiden määrällä ja kertomalla osamäärä luvulla 0,12.
Ruotsinkielisellä tarkoitetaan henkilöä, joka on ilmoittanut väestötietolain (507/1993) 2 §:ssä tarkoitettuun väestötietojärjestelmään äidinkielekseen ruotsin.</t>
        </r>
      </text>
    </comment>
    <comment ref="C36" authorId="0">
      <text>
        <r>
          <rPr>
            <b/>
            <sz val="9"/>
            <rFont val="Tahoma"/>
            <family val="2"/>
          </rPr>
          <t>Lehtonen Sanna:</t>
        </r>
        <r>
          <rPr>
            <sz val="9"/>
            <rFont val="Tahoma"/>
            <family val="2"/>
          </rPr>
          <t xml:space="preserve">
Kunnan yleisten kirjastojen laskennalliset kustannukset saadaan kertomalla kunnan asukasmäärä yleisten kirjastojen perushinnalla.
</t>
        </r>
      </text>
    </comment>
    <comment ref="C42" authorId="0">
      <text>
        <r>
          <rPr>
            <b/>
            <sz val="9"/>
            <rFont val="Tahoma"/>
            <family val="2"/>
          </rPr>
          <t>Lehtonen Sanna:</t>
        </r>
        <r>
          <rPr>
            <sz val="9"/>
            <rFont val="Tahoma"/>
            <family val="2"/>
          </rPr>
          <t xml:space="preserve">
Jos kunta järjestää taiteen perusopetusta, kunnan taiteen perusopetuksen määräytymisperuste saadaan kertomalla taiteen perusopetuksen perushinta kunnan asukasmäärällä.</t>
        </r>
      </text>
    </comment>
    <comment ref="C41" authorId="0">
      <text>
        <r>
          <rPr>
            <b/>
            <sz val="9"/>
            <rFont val="Tahoma"/>
            <family val="2"/>
          </rPr>
          <t>Lehtonen Sanna:</t>
        </r>
        <r>
          <rPr>
            <sz val="9"/>
            <rFont val="Tahoma"/>
            <family val="2"/>
          </rPr>
          <t xml:space="preserve">
Kunnan yleisen kulttuuritoimen määräytymisperuste saadaan kertomalla yleisen kulttuuritoimen perushinta kunnan asukasmäärällä.</t>
        </r>
      </text>
    </comment>
    <comment ref="D28" authorId="0">
      <text>
        <r>
          <rPr>
            <b/>
            <sz val="9"/>
            <rFont val="Tahoma"/>
            <family val="2"/>
          </rPr>
          <t>Lehtonen Sanna:</t>
        </r>
        <r>
          <rPr>
            <sz val="9"/>
            <rFont val="Tahoma"/>
            <family val="2"/>
          </rPr>
          <t xml:space="preserve">
Jos vähintään puolet asukkaista asuu ilman kiinteää tieyhteyttä mantereeseen.</t>
        </r>
      </text>
    </comment>
    <comment ref="D38" authorId="0">
      <text>
        <r>
          <rPr>
            <b/>
            <sz val="9"/>
            <rFont val="Tahoma"/>
            <family val="2"/>
          </rPr>
          <t>Lehtonen Sanna:</t>
        </r>
        <r>
          <rPr>
            <sz val="9"/>
            <rFont val="Tahoma"/>
            <family val="2"/>
          </rPr>
          <t xml:space="preserve">
Saaristokunnalle ja kunnalle, jonka asukastiheys on enintään kaksi, perushintaa korotetaan 20 prosentilla. Kunnalle, jonka asukastiheys on yli kaksi mutta enintään viisi, perushintaa korotetaan 10 prosentilla.</t>
        </r>
      </text>
    </comment>
  </commentList>
</comments>
</file>

<file path=xl/comments5.xml><?xml version="1.0" encoding="utf-8"?>
<comments xmlns="http://schemas.openxmlformats.org/spreadsheetml/2006/main">
  <authors>
    <author>Lehtonen Sanna</author>
  </authors>
  <commentList>
    <comment ref="C49" authorId="0">
      <text>
        <r>
          <rPr>
            <b/>
            <sz val="9"/>
            <rFont val="Tahoma"/>
            <family val="2"/>
          </rPr>
          <t>Lehtonen Sanna:</t>
        </r>
        <r>
          <rPr>
            <sz val="9"/>
            <rFont val="Tahoma"/>
            <family val="2"/>
          </rPr>
          <t xml:space="preserve">
Saamelaisten kotiseutualueen kunnalle myönnetään saamenkielisten osuuden perusteella saamelaisten kotiseutualueen kunnan lisäosana euromäärä, joka lasketaan kertomalla kunkin kunnan 26 §:ssä tarkoitettu erityisen harvan asutuksen lisäosa seuraavilla saamelaiskertoimilla:
Saamenkielisten osuus prosentteina = Kerroin 
yli 30 % = 2,30 
7–30 % = 1,20 
3–7 % = 0,30 
yli 0,5 %, mutta alle 3 % = 0,20
Saamelaisten kotiseutualueen kunnalla tarkoitetaan saamelaiskäräjistä annetun lain (974/1995) 4 §:ssä tarkoitettua saamelaisten kotiseutualueeseen kuuluvaa kuntaa.</t>
        </r>
      </text>
    </comment>
    <comment ref="E23" authorId="0">
      <text>
        <r>
          <rPr>
            <b/>
            <sz val="9"/>
            <rFont val="Tahoma"/>
            <family val="2"/>
          </rPr>
          <t>Lehtonen Sanna:</t>
        </r>
        <r>
          <rPr>
            <sz val="9"/>
            <rFont val="Tahoma"/>
            <family val="2"/>
          </rPr>
          <t xml:space="preserve">
Saaristo-osakunnalla tarkoitetaan kuntaa, jonka saaristo-osaan sovelletaan saariston kehityksen edistämisestä annetun lain 9 §:n mukaan saaristokuntaa koskevia säännöksiä.</t>
        </r>
      </text>
    </comment>
    <comment ref="B11" authorId="0">
      <text>
        <r>
          <rPr>
            <b/>
            <sz val="9"/>
            <rFont val="Tahoma"/>
            <family val="2"/>
          </rPr>
          <t>Lehtonen Sanna:</t>
        </r>
        <r>
          <rPr>
            <sz val="9"/>
            <rFont val="Tahoma"/>
            <family val="2"/>
          </rPr>
          <t xml:space="preserve">
Kunta saa yleisenä osana euromäärän, joka saadaan lisäämällä yleisen osan perushintaan perushinnan korotukset sekä kertomalla summa kunnan asukasmäärällä.</t>
        </r>
      </text>
    </comment>
    <comment ref="D19" authorId="0">
      <text>
        <r>
          <rPr>
            <b/>
            <sz val="9"/>
            <rFont val="Tahoma"/>
            <family val="2"/>
          </rPr>
          <t>Lehtonen Sanna:</t>
        </r>
        <r>
          <rPr>
            <sz val="9"/>
            <rFont val="Tahoma"/>
            <family val="2"/>
          </rPr>
          <t xml:space="preserve">
Saaristokunnalle, jonka asukkaista vähintään puolet asuu ilman kiinteää tieyhteyttä mantereeseen, yleisen osan perushintaa korotetaan euromäärällä, joka on yleisen osan perushinta seitsenkertaisena. Muille saaristokunnille korotus on yleisen osan perushinta nelinkertaisena.
Saaristo-osakunnalle yleisen osan perushintaa korotetaan euromäärällä, joka on saaristossa asuvien osuuden ja yleisen osan perushinnan tulo kerrottuna luvulla 1,5. Jos saaristo-osassa asuu vähintään 1 100 asukasta, korotus on yleisen osan perushinnan suuruinen.
Saaristo- tai syrjäisyyskorotus otetaan huomioon vaihtoehtoisina sen mukaan, kumpi niistä on kunnalle edullisempi. Saaristo-osakunnalle perushintaa korotetaan sekä saaristo- että syrjäisyyskorotuksella.</t>
        </r>
      </text>
    </comment>
    <comment ref="D26" authorId="0">
      <text>
        <r>
          <rPr>
            <b/>
            <sz val="9"/>
            <rFont val="Tahoma"/>
            <family val="2"/>
          </rPr>
          <t>Lehtonen Sanna:</t>
        </r>
        <r>
          <rPr>
            <sz val="9"/>
            <rFont val="Tahoma"/>
            <family val="2"/>
          </rPr>
          <t xml:space="preserve">
Kunnalle, jonka paikallisen ja seudullisen asukaspohjan perusteella määräytyvä syrjäisyysluku on 1,50 tai suurempi, yleisen osan perushintaa korotetaan euromäärällä, joka on yleisen osan perushinta kuusinkertaisena. Kunnalle, jonka syrjäisyysluku on 1,00–1,49, yleisen osan perushintaa korotetaan euromäärällä, joka on yleisen osan perushinta viisinkertaisena. Kunnalle, jonka syrjäisyysluku on 0,50–0,99, yleisen osan perushintaa korotetaan euromäärällä, joka on yleisen osan perushinta kolminkertaisena.
Saaristo- tai syrjäisyyskorotus otetaan huomioon vaihtoehtoisina sen mukaan, kumpi niistä on kunnalle edullisempi. Saaristo-osakunnalle perushintaa korotetaan sekä saaristo- että syrjäisyyskorotuksella.</t>
        </r>
      </text>
    </comment>
    <comment ref="D17" authorId="0">
      <text>
        <r>
          <rPr>
            <b/>
            <sz val="9"/>
            <rFont val="Tahoma"/>
            <family val="2"/>
          </rPr>
          <t>Lehtonen Sanna:</t>
        </r>
        <r>
          <rPr>
            <sz val="9"/>
            <rFont val="Tahoma"/>
            <family val="2"/>
          </rPr>
          <t xml:space="preserve">
Kunnalle, jonka taajamassa asuvan väestön määrä on vähintään 40 000, yleisen osan perushintaa korotetaan euromäärällä, joka saadaan kertomalla taajamassa asuvan väestön määrän ja yleisen osan perushinnan tulo seuraavilla kertoimilla:
Taajamassa asuvan väestön määrä = Kerroin 
40 000–99 999 = 0,75 
100 000–199 999 = 0,70 
vähintään 200 000 = 0,01
Taajamassa asuvan väestön määränä käytetään varainhoitovuotta edeltävänä vuonna käytettävissä olevaa Tilastokeskuksen viimeisimmän tilaston mukaista taajamassa asuvan väestön määrää.
</t>
        </r>
      </text>
    </comment>
    <comment ref="D15" authorId="0">
      <text>
        <r>
          <rPr>
            <b/>
            <sz val="9"/>
            <rFont val="Tahoma"/>
            <family val="2"/>
          </rPr>
          <t>Lehtonen Sanna:</t>
        </r>
        <r>
          <rPr>
            <sz val="9"/>
            <rFont val="Tahoma"/>
            <family val="2"/>
          </rPr>
          <t xml:space="preserve">
Kaksikieliselle kunnalle ja saamelaisten kotiseutualueen kunnalle yleisen osan perushintaa korotetaan euromäärällä, joka on yleisen osan perushinta kerrottuna luvulla 0,10.</t>
        </r>
      </text>
    </comment>
    <comment ref="D31" authorId="0">
      <text>
        <r>
          <rPr>
            <b/>
            <sz val="9"/>
            <rFont val="Tahoma"/>
            <family val="2"/>
          </rPr>
          <t>Lehtonen Sanna:</t>
        </r>
        <r>
          <rPr>
            <sz val="9"/>
            <rFont val="Tahoma"/>
            <family val="2"/>
          </rPr>
          <t xml:space="preserve">
Kunnalle, jonka asukasmäärän muutos kolmena varainhoitovuotta edeltävää vuotta edeltäneenä vuonna on ollut yhteensä vähintään kuusi prosenttia, yleisen osan perushintaa korotetaan euromäärällä, joka on yleisen osan perushinta kerrottuna luvulla 1,39.</t>
        </r>
      </text>
    </comment>
    <comment ref="D30" authorId="0">
      <text>
        <r>
          <rPr>
            <b/>
            <sz val="9"/>
            <rFont val="Tahoma"/>
            <family val="2"/>
          </rPr>
          <t>Lehtonen Sanna:</t>
        </r>
        <r>
          <rPr>
            <sz val="9"/>
            <rFont val="Tahoma"/>
            <family val="2"/>
          </rPr>
          <t xml:space="preserve">
Kunnalle, jonka asukastiheys on enintään 0,5, yleisen osan perushintaa korotetaan syrjäisyyskorotuksella, joka on yleisen osan perushinta yhdeksänkertaisena.
</t>
        </r>
      </text>
    </comment>
    <comment ref="C40" authorId="0">
      <text>
        <r>
          <rPr>
            <b/>
            <sz val="9"/>
            <rFont val="Tahoma"/>
            <family val="2"/>
          </rPr>
          <t>Lehtonen Sanna:</t>
        </r>
        <r>
          <rPr>
            <sz val="9"/>
            <rFont val="Tahoma"/>
            <family val="2"/>
          </rPr>
          <t xml:space="preserve">
Kunnalle myönnetään erityisen harvan asutuksen lisäosaa kunnan asukastiheyden perusteella. Lisäosa lasketaan kertomalla yleisen osan perushinnan ja kunnan asukasmäärän tulo kunnan asukastiheyden perusteella määräytyvällä kertoimella seuraavasti:
Asukastiheys = Kerroin 
alle 0,50 = 12 
0,50–1,49 = 10 
1,50–1,99 = 7</t>
        </r>
      </text>
    </comment>
    <comment ref="C45" authorId="0">
      <text>
        <r>
          <rPr>
            <b/>
            <sz val="9"/>
            <rFont val="Tahoma"/>
            <family val="2"/>
          </rPr>
          <t>Lehtonen Sanna:</t>
        </r>
        <r>
          <rPr>
            <sz val="9"/>
            <rFont val="Tahoma"/>
            <family val="2"/>
          </rPr>
          <t xml:space="preserve">
Saaristokunnalle, jonka asukkaista vähintään puolet asuu ilman kiinteää tieyhteyttä mantereeseen, myönnetään saaristokunnan lisäosana euromäärä, joka on viisi kertaa 6 §:n 1 momentissa tarkoitetun yleisen osan perushinta kerrottuna kunnan asukasmäärällä. Muulle saaristokunnalle saaristokunnan lisäosa on neljä kertaa yleisen osan perushinta kerrottuna kunnan asukasmäärällä.</t>
        </r>
      </text>
    </comment>
  </commentList>
</comments>
</file>

<file path=xl/comments6.xml><?xml version="1.0" encoding="utf-8"?>
<comments xmlns="http://schemas.openxmlformats.org/spreadsheetml/2006/main">
  <authors>
    <author>Lehtonen Sanna</author>
  </authors>
  <commentList>
    <comment ref="C15" authorId="0">
      <text>
        <r>
          <rPr>
            <b/>
            <sz val="9"/>
            <rFont val="Tahoma"/>
            <family val="2"/>
          </rPr>
          <t>Lehtonen Sanna:</t>
        </r>
        <r>
          <rPr>
            <sz val="9"/>
            <rFont val="Tahoma"/>
            <family val="2"/>
          </rPr>
          <t xml:space="preserve">
Harkinnanvaraisten valtionosuuden korotusten yhteismäärää vastaava euromäärä vähennetään kunnille maksettavista valtionosuuksista. Vähennys on kaikissa kunnissa asukasta kohden yhtä suuri.</t>
        </r>
      </text>
    </comment>
    <comment ref="C18" authorId="0">
      <text>
        <r>
          <rPr>
            <b/>
            <sz val="9"/>
            <rFont val="Tahoma"/>
            <family val="2"/>
          </rPr>
          <t>Lehtonen Sanna:</t>
        </r>
        <r>
          <rPr>
            <sz val="9"/>
            <rFont val="Tahoma"/>
            <family val="2"/>
          </rPr>
          <t xml:space="preserve">
Erityisen harvan asutuksen, saaristokunnan sekä saamelaisten kotiseutualueen kunnan lisäosat vähentävät kaikille kunnille maksettavia valtionosuuksia lisäosien yhteismäärää vastaavalla euromäärällä. Valtionosuuden vähennys on kaikissa kunnissa asukasta kohden yhtä suuri.</t>
        </r>
      </text>
    </comment>
  </commentList>
</comments>
</file>

<file path=xl/comments9.xml><?xml version="1.0" encoding="utf-8"?>
<comments xmlns="http://schemas.openxmlformats.org/spreadsheetml/2006/main">
  <authors>
    <author>Lehtonen Sanna</author>
  </authors>
  <commentList>
    <comment ref="C66" authorId="0">
      <text>
        <r>
          <rPr>
            <b/>
            <sz val="9"/>
            <rFont val="Tahoma"/>
            <family val="2"/>
          </rPr>
          <t>Lehtonen Sanna:</t>
        </r>
        <r>
          <rPr>
            <sz val="9"/>
            <rFont val="Tahoma"/>
            <family val="2"/>
          </rPr>
          <t xml:space="preserve">
Perusopetuslaissa tarkoitettua aamu- ja iltapäivätoimintaa järjestävälle kunnalle myönnetään valtionosuutta toiminnasta aiheutuviin käyttökustannuksiin 57 prosenttia euromäärästä, joka saadaan, kun kunnalle valtionosuuden laskemisen perusteeksi mainittua toimintaa varten vahvistettu tuntimäärä kerrotaan tuntia kohden määrätyllä yksikköhinnalla.</t>
        </r>
      </text>
    </comment>
    <comment ref="C72" authorId="0">
      <text>
        <r>
          <rPr>
            <b/>
            <sz val="9"/>
            <rFont val="Tahoma"/>
            <family val="2"/>
          </rPr>
          <t>Lehtonen Sanna:</t>
        </r>
        <r>
          <rPr>
            <sz val="9"/>
            <rFont val="Tahoma"/>
            <family val="2"/>
          </rPr>
          <t xml:space="preserve">
Valtionosuus opetustuntikohtaiseen taiteen perusopetukseen on 57 prosenttia euromäärästä, joka saadaan, kun koulutuksen järjestäjälle valtionosuuden laskemisen perusteeksi mainittua opetusta varten vahvistettu opetustuntimäärä kerrotaan opetustuntia kohden määrätyllä yksikköhinnalla.</t>
        </r>
      </text>
    </comment>
    <comment ref="C75" authorId="0">
      <text>
        <r>
          <rPr>
            <b/>
            <sz val="9"/>
            <rFont val="Tahoma"/>
            <family val="2"/>
          </rPr>
          <t>Lehtonen Sanna:</t>
        </r>
        <r>
          <rPr>
            <sz val="9"/>
            <rFont val="Tahoma"/>
            <family val="2"/>
          </rPr>
          <t xml:space="preserve">
Kunnalle myönnetään valtionosuutta liikuntatoiminnan käyttökustannuksiin 29,70 prosenttia euromäärästä, joka saadaan, kun kunnan asukasmäärä kerrotaan liikuntatoimintaa varten asukasta kohden määrätyllä yksikköhinnalla.
</t>
        </r>
      </text>
    </comment>
    <comment ref="C77" authorId="0">
      <text>
        <r>
          <rPr>
            <b/>
            <sz val="9"/>
            <rFont val="Tahoma"/>
            <family val="2"/>
          </rPr>
          <t>Lehtonen Sanna:</t>
        </r>
        <r>
          <rPr>
            <sz val="9"/>
            <rFont val="Tahoma"/>
            <family val="2"/>
          </rPr>
          <t xml:space="preserve">
Kunnalle myönnetään valtionosuutta nuorisotyön käyttökustannuksiin 29,70 prosenttia euromäärästä, joka saadaan, kun kunnan alle 29-vuotiaiden asukkaiden määrä kerrotaan nuorisotyötä varten asukasta kohden määrätyllä yksikköhinnalla.</t>
        </r>
      </text>
    </comment>
    <comment ref="C79" authorId="0">
      <text>
        <r>
          <rPr>
            <b/>
            <sz val="9"/>
            <rFont val="Tahoma"/>
            <family val="2"/>
          </rPr>
          <t>Lehtonen Sanna:</t>
        </r>
        <r>
          <rPr>
            <sz val="9"/>
            <rFont val="Tahoma"/>
            <family val="2"/>
          </rPr>
          <t xml:space="preserve">
Museon, teatterin ja orkesterin ylläpitäjälle myönnetään valtionosuutta mainituista toiminnoista aiheutuviin käyttökustannuksiin 37 prosenttia euromäärästä, joka saadaan, kun ylläpitäjälle museota, teatteria ja orkesteria varten vahvistettu laskennallinen henkilötyövuosien määrä kerrotaan henkilötyövuotta kohden asianomaista toimintaa varten määrätyllä yksikköhinnalla.</t>
        </r>
      </text>
    </comment>
    <comment ref="G26" authorId="0">
      <text>
        <r>
          <rPr>
            <b/>
            <sz val="9"/>
            <rFont val="Tahoma"/>
            <family val="2"/>
          </rPr>
          <t>Lehtonen Sanna:</t>
        </r>
        <r>
          <rPr>
            <sz val="9"/>
            <rFont val="Tahoma"/>
            <family val="2"/>
          </rPr>
          <t xml:space="preserve">
Tae 17.9.2012 arvio opetus- ja kulttuuritoimen rahoitusosuudesta v. 2013</t>
        </r>
      </text>
    </comment>
  </commentList>
</comments>
</file>

<file path=xl/sharedStrings.xml><?xml version="1.0" encoding="utf-8"?>
<sst xmlns="http://schemas.openxmlformats.org/spreadsheetml/2006/main" count="1441" uniqueCount="663">
  <si>
    <t>€/asukas</t>
  </si>
  <si>
    <t>määrä</t>
  </si>
  <si>
    <t>kerroin</t>
  </si>
  <si>
    <t>Summa</t>
  </si>
  <si>
    <t>1)</t>
  </si>
  <si>
    <t>Syrjäisyysluku:</t>
  </si>
  <si>
    <t>1,5 / 1</t>
  </si>
  <si>
    <t>Vähennykset yhteensä</t>
  </si>
  <si>
    <t>0,75, 0,70 tai 0,01</t>
  </si>
  <si>
    <t xml:space="preserve"> </t>
  </si>
  <si>
    <t>Akaa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</si>
  <si>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</si>
  <si>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</si>
  <si>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</si>
  <si>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</si>
  <si>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</si>
  <si>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</si>
  <si>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</si>
  <si>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</si>
  <si>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</si>
  <si>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</si>
  <si>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</si>
  <si>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</si>
  <si>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</si>
  <si>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</si>
  <si>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</si>
  <si>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</si>
  <si>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</si>
  <si>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</si>
  <si>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</si>
  <si>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</si>
  <si>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</si>
  <si>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</si>
  <si>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</si>
  <si>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</si>
  <si>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</si>
  <si>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</si>
  <si>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</si>
  <si>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</si>
  <si>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</si>
  <si>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Honkajoki</t>
  </si>
  <si>
    <t>Huittinen</t>
  </si>
  <si>
    <t>Humppila</t>
  </si>
  <si>
    <t>Hyrynsalmi</t>
  </si>
  <si>
    <t>Hyvinkää</t>
  </si>
  <si>
    <t>Hämeenkoski</t>
  </si>
  <si>
    <t>Hämeenkyrö</t>
  </si>
  <si>
    <t>Hämeenlinna</t>
  </si>
  <si>
    <t>Ii</t>
  </si>
  <si>
    <t>Iisalmi</t>
  </si>
  <si>
    <t>Iitti</t>
  </si>
  <si>
    <t>Ikaalinen</t>
  </si>
  <si>
    <t>Ilmajoki</t>
  </si>
  <si>
    <t>Ilomantsi</t>
  </si>
  <si>
    <t>Imatra</t>
  </si>
  <si>
    <t>Inari</t>
  </si>
  <si>
    <t>Inkoo</t>
  </si>
  <si>
    <t>Isojoki</t>
  </si>
  <si>
    <t>Isokyrö</t>
  </si>
  <si>
    <t>Jalasjärvi</t>
  </si>
  <si>
    <t>Janakkala</t>
  </si>
  <si>
    <t>Joensuu</t>
  </si>
  <si>
    <t>Jokioinen</t>
  </si>
  <si>
    <t>Joroinen</t>
  </si>
  <si>
    <t>Joutsa</t>
  </si>
  <si>
    <t>Juankoski</t>
  </si>
  <si>
    <t>Juuka</t>
  </si>
  <si>
    <t>Juupajoki</t>
  </si>
  <si>
    <t>Juva</t>
  </si>
  <si>
    <t>Jyväskylä</t>
  </si>
  <si>
    <t>Jämijärvi</t>
  </si>
  <si>
    <t>Jämsä</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</si>
  <si>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</si>
  <si>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</si>
  <si>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</si>
  <si>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</si>
  <si>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</si>
  <si>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</si>
  <si>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</si>
  <si>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</si>
  <si>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</si>
  <si>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</si>
  <si>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</si>
  <si>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</si>
  <si>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</si>
  <si>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</si>
  <si>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</si>
  <si>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</si>
  <si>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</si>
  <si>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</si>
  <si>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</si>
  <si>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</si>
  <si>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</si>
  <si>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</si>
  <si>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</si>
  <si>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Kemiönsaari</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</si>
  <si>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</si>
  <si>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</si>
  <si>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</si>
  <si>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</si>
  <si>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</si>
  <si>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</si>
  <si>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</si>
  <si>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</si>
  <si>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</si>
  <si>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</si>
  <si>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</si>
  <si>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</si>
  <si>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</si>
  <si>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</si>
  <si>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</si>
  <si>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</si>
  <si>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</si>
  <si>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</si>
  <si>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</si>
  <si>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</si>
  <si>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</si>
  <si>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</si>
  <si>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</si>
  <si>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</si>
  <si>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</si>
  <si>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</si>
  <si>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</si>
  <si>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</si>
  <si>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</si>
  <si>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</si>
  <si>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</si>
  <si>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Köyliö</t>
  </si>
  <si>
    <t>Lahti</t>
  </si>
  <si>
    <t>Laihia</t>
  </si>
  <si>
    <t>Laitila</t>
  </si>
  <si>
    <t>Lapinjärvi</t>
  </si>
  <si>
    <t>Lapinlahti</t>
  </si>
  <si>
    <t>Lappajärvi</t>
  </si>
  <si>
    <t>Lappeenranta</t>
  </si>
  <si>
    <t>Lapua</t>
  </si>
  <si>
    <t>Laukaa</t>
  </si>
  <si>
    <t>Lavia</t>
  </si>
  <si>
    <t>Lemi</t>
  </si>
  <si>
    <t>Lempäälä</t>
  </si>
  <si>
    <t>Leppävirta</t>
  </si>
  <si>
    <t>Lestijärvi</t>
  </si>
  <si>
    <t>Lieksa</t>
  </si>
  <si>
    <t>Lieto</t>
  </si>
  <si>
    <t>Liminka</t>
  </si>
  <si>
    <t>Liperi</t>
  </si>
  <si>
    <t>Lohja</t>
  </si>
  <si>
    <t>Loimaa</t>
  </si>
  <si>
    <t>Loppi</t>
  </si>
  <si>
    <t>Loviisa</t>
  </si>
  <si>
    <t>Luhanka</t>
  </si>
  <si>
    <t>Lumijoki</t>
  </si>
  <si>
    <t>Luoto</t>
  </si>
  <si>
    <t>Luumäki</t>
  </si>
  <si>
    <t>Luvia</t>
  </si>
  <si>
    <t>Maalahti</t>
  </si>
  <si>
    <t>Maaninka</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</si>
  <si>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</si>
  <si>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</si>
  <si>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</si>
  <si>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</si>
  <si>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</si>
  <si>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</si>
  <si>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</si>
  <si>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</si>
  <si>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</si>
  <si>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</si>
  <si>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</si>
  <si>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</si>
  <si>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</si>
  <si>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</si>
  <si>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</si>
  <si>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</si>
  <si>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</si>
  <si>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</si>
  <si>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Nastola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</si>
  <si>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</si>
  <si>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</si>
  <si>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</si>
  <si>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</si>
  <si>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</si>
  <si>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</si>
  <si>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</si>
  <si>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</si>
  <si>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</si>
  <si>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</si>
  <si>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</si>
  <si>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</si>
  <si>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</si>
  <si>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</si>
  <si>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</si>
  <si>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</si>
  <si>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</si>
  <si>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Pedersöre</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</si>
  <si>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</si>
  <si>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</si>
  <si>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</si>
  <si>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</si>
  <si>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</si>
  <si>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</si>
  <si>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</si>
  <si>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</si>
  <si>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</si>
  <si>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</si>
  <si>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</si>
  <si>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</si>
  <si>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</si>
  <si>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</si>
  <si>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</si>
  <si>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</si>
  <si>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</si>
  <si>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</si>
  <si>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</si>
  <si>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</si>
  <si>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</si>
  <si>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Pyhtää</t>
  </si>
  <si>
    <t>Pyhäjoki</t>
  </si>
  <si>
    <t>Pyhäjärvi</t>
  </si>
  <si>
    <t>Pyhäntä</t>
  </si>
  <si>
    <t>Pyhäranta</t>
  </si>
  <si>
    <t>Pälkäne</t>
  </si>
  <si>
    <t>Pöytyä</t>
  </si>
  <si>
    <t>Raahe</t>
  </si>
  <si>
    <t>Raasepori</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</si>
  <si>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</si>
  <si>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</si>
  <si>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</si>
  <si>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</si>
  <si>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</si>
  <si>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</si>
  <si>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</si>
  <si>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</si>
  <si>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</si>
  <si>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</si>
  <si>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</si>
  <si>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</si>
  <si>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</si>
  <si>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</si>
  <si>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</si>
  <si>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</si>
  <si>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</si>
  <si>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</si>
  <si>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Sastamala</t>
  </si>
  <si>
    <t>Sauvo</t>
  </si>
  <si>
    <t>Savitaipale</t>
  </si>
  <si>
    <t>Savonlinna</t>
  </si>
  <si>
    <t>Savukoski</t>
  </si>
  <si>
    <t>Seinäjoki</t>
  </si>
  <si>
    <t>Sievi</t>
  </si>
  <si>
    <t>Siikainen</t>
  </si>
  <si>
    <t>Siikajoki</t>
  </si>
  <si>
    <t>Siikalatva</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</si>
  <si>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</si>
  <si>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</si>
  <si>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</si>
  <si>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</si>
  <si>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</si>
  <si>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</si>
  <si>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</si>
  <si>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</si>
  <si>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</si>
  <si>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</si>
  <si>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</si>
  <si>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</si>
  <si>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</si>
  <si>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</si>
  <si>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</si>
  <si>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</si>
  <si>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</si>
  <si>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</si>
  <si>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</si>
  <si>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Tarvasjoki</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</si>
  <si>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</si>
  <si>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</si>
  <si>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</si>
  <si>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</si>
  <si>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</si>
  <si>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</si>
  <si>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</si>
  <si>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</si>
  <si>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</si>
  <si>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</si>
  <si>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</si>
  <si>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</si>
  <si>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</si>
  <si>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</si>
  <si>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</si>
  <si>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</si>
  <si>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</si>
  <si>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</si>
  <si>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</si>
  <si>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</si>
  <si>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</si>
  <si>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Valtimo</t>
  </si>
  <si>
    <t>Vantaa</t>
  </si>
  <si>
    <t>Varkaus</t>
  </si>
  <si>
    <t>Vehmaa</t>
  </si>
  <si>
    <t>Vesanto</t>
  </si>
  <si>
    <t>Vesilahti</t>
  </si>
  <si>
    <t>Veteli</t>
  </si>
  <si>
    <t>Vieremä</t>
  </si>
  <si>
    <t>Vihti</t>
  </si>
  <si>
    <t>Viitasaari</t>
  </si>
  <si>
    <t>Vimpeli</t>
  </si>
  <si>
    <t>Virolahti</t>
  </si>
  <si>
    <t>Virrat</t>
  </si>
  <si>
    <t>Vöyri</t>
  </si>
  <si>
    <t>Ylitornio</t>
  </si>
  <si>
    <t>Ylivieska</t>
  </si>
  <si>
    <t>Ylöjärvi</t>
  </si>
  <si>
    <t>Ypäjä</t>
  </si>
  <si>
    <t>Ähtäri</t>
  </si>
  <si>
    <t>Äänekoski</t>
  </si>
  <si>
    <t>Työttömyys yhteensä</t>
  </si>
  <si>
    <t>euroa</t>
  </si>
  <si>
    <t>Sivu 1</t>
  </si>
  <si>
    <t>kuntanro</t>
  </si>
  <si>
    <t>kuntanimi</t>
  </si>
  <si>
    <t>asukastiheys</t>
  </si>
  <si>
    <t>Saaristo</t>
  </si>
  <si>
    <t>Kaksikielisyys</t>
  </si>
  <si>
    <t>ika06v.</t>
  </si>
  <si>
    <t>ika6v</t>
  </si>
  <si>
    <t>ika712v</t>
  </si>
  <si>
    <t>ika1315v</t>
  </si>
  <si>
    <t>ika764v</t>
  </si>
  <si>
    <t>ika6574v</t>
  </si>
  <si>
    <t>ika7584v</t>
  </si>
  <si>
    <t>ika85v</t>
  </si>
  <si>
    <t>vakiluku</t>
  </si>
  <si>
    <t>ruotsink615v</t>
  </si>
  <si>
    <t>vierask615v</t>
  </si>
  <si>
    <t>Vammaiskerroin</t>
  </si>
  <si>
    <t>Sairastavuuskerroin</t>
  </si>
  <si>
    <t>Syrjäisyys</t>
  </si>
  <si>
    <t>Työlliset 200</t>
  </si>
  <si>
    <t>(A) Maa-, metsä- ja kalatalous 2009</t>
  </si>
  <si>
    <t>(X) Toimiala tuntematon 2009</t>
  </si>
  <si>
    <t>Lapset huostassa lkm 31.12.2009</t>
  </si>
  <si>
    <t>Huostaanotot, kun lsho&lt;5</t>
  </si>
  <si>
    <t>phkerroin</t>
  </si>
  <si>
    <t>lskerroin</t>
  </si>
  <si>
    <t>eläkkeensaajan hoitotuki</t>
  </si>
  <si>
    <t>lapsen vammaistuki</t>
  </si>
  <si>
    <t>aikuisen vammaistuki</t>
  </si>
  <si>
    <t>vammaisten laitospalvelut</t>
  </si>
  <si>
    <t>vammaiset yhteensä</t>
  </si>
  <si>
    <t>tyottomyyskerroin</t>
  </si>
  <si>
    <t>tyottomat</t>
  </si>
  <si>
    <t>tyovoima</t>
  </si>
  <si>
    <t>syrjaisyyskerroin</t>
  </si>
  <si>
    <t>maapinta-ala km²</t>
  </si>
  <si>
    <t>KUNNAN VALTIONOSUUSRAHOITUS 2013</t>
  </si>
  <si>
    <t>Parainen</t>
  </si>
  <si>
    <t>järjestelmämuutoksen tasaus</t>
  </si>
  <si>
    <t>valtionosuuden tasaus</t>
  </si>
  <si>
    <t>jarjestaako taiteen perusopetusta</t>
  </si>
  <si>
    <t>yasl</t>
  </si>
  <si>
    <t>ysaar</t>
  </si>
  <si>
    <t>ysaarvae</t>
  </si>
  <si>
    <t>ysaaokv</t>
  </si>
  <si>
    <t>ysyrj</t>
  </si>
  <si>
    <t>ymkm</t>
  </si>
  <si>
    <t>yast</t>
  </si>
  <si>
    <t>ytaaj</t>
  </si>
  <si>
    <t>ytaaos</t>
  </si>
  <si>
    <t>ykaks</t>
  </si>
  <si>
    <t>ysaamk</t>
  </si>
  <si>
    <t>yasm311208</t>
  </si>
  <si>
    <t>yasm311211</t>
  </si>
  <si>
    <t>yasmm</t>
  </si>
  <si>
    <t>yasmk</t>
  </si>
  <si>
    <t>ysaamm</t>
  </si>
  <si>
    <t>ysaamo</t>
  </si>
  <si>
    <t xml:space="preserve">  -1,00 - 1,49</t>
  </si>
  <si>
    <t xml:space="preserve">  -0,50 - 0,99</t>
  </si>
  <si>
    <t xml:space="preserve"> - 7 - 29,99 % </t>
  </si>
  <si>
    <t xml:space="preserve"> - 3 - 6,99 % </t>
  </si>
  <si>
    <t xml:space="preserve"> - 0,5 - 2,99 % </t>
  </si>
  <si>
    <t>TMT- ja veromenetyskompensaatiot</t>
  </si>
  <si>
    <t>kkkpo</t>
  </si>
  <si>
    <t>15.6.2012 / Kuntaliitto, SL</t>
  </si>
  <si>
    <t>21.8.2012, Kuntaliitto / SL</t>
  </si>
  <si>
    <t>17.9.2012, Kommunförbundet / SL</t>
  </si>
  <si>
    <t>SAMMANDRAG</t>
  </si>
  <si>
    <t>Direktiv:</t>
  </si>
  <si>
    <t xml:space="preserve">  Mata in eller granska uppgifterna i de blåa cellerna</t>
  </si>
  <si>
    <t xml:space="preserve">  Uppgifterna från mellanbladen överförs automatiskt till de övriga gula cellerna i filen. Granska uppgifterna.</t>
  </si>
  <si>
    <t>Kommun:</t>
  </si>
  <si>
    <t>Invånarantal 31.12.2011:</t>
  </si>
  <si>
    <t>Statsandelen för kommunal basservice:</t>
  </si>
  <si>
    <t>Kalkylerade kostnader för social- och hälsovården</t>
  </si>
  <si>
    <t>Kalkylerade kostn. för förskola och grundutb., bibliotek samt kultur</t>
  </si>
  <si>
    <t>Allmän del</t>
  </si>
  <si>
    <t>Tillägg för särskilt glest bebyggelse, skärgårdsförhållanden och samekomm.</t>
  </si>
  <si>
    <t>Utjämning till följd av ändringen i statsandelssystemet (+/-)</t>
  </si>
  <si>
    <t>Minskningar och ökningar i stasandelen sammanlagt</t>
  </si>
  <si>
    <t>- Avdras återbäringar av underhållsstödsfordringar (inte statsandel):</t>
  </si>
  <si>
    <t xml:space="preserve">  Granska invånarantalet</t>
  </si>
  <si>
    <t>Statsand. finansieringsand. för kommunal basservice</t>
  </si>
  <si>
    <t>€/invånare</t>
  </si>
  <si>
    <t>Kommunvisa statsandelar för kommunal basservice före utjämningen</t>
  </si>
  <si>
    <t>Statsandelens utjämning som baserar sig på skatteinkomsterna (+/-)</t>
  </si>
  <si>
    <t xml:space="preserve">1. Kommunvisa statsandelar för kommunal basservice </t>
  </si>
  <si>
    <t>3. Prövningsbaserad förhöjning av statsandelen (ej i budgeten)</t>
  </si>
  <si>
    <t>Kommunens stasandelsfinansiering år 2013</t>
  </si>
  <si>
    <t>Hemkommunsersättningen i förskole- och grundutbildningen</t>
  </si>
  <si>
    <t>Hemkommunsersättningar som erhålls (+)</t>
  </si>
  <si>
    <t>Hemkommunsersättningar som betalas (-)</t>
  </si>
  <si>
    <t>Återbäring av underhållsstödsfordringar</t>
  </si>
  <si>
    <r>
      <t xml:space="preserve">Utbetalning av statsandel </t>
    </r>
    <r>
      <rPr>
        <sz val="10"/>
        <rFont val="Arial"/>
        <family val="2"/>
      </rPr>
      <t>(statsandel +/- hemkommunsersättningar + underhållsstödsfordringar</t>
    </r>
  </si>
  <si>
    <t>samt behövsprövad förhöjning av statsandelen</t>
  </si>
  <si>
    <t xml:space="preserve"> - månadsrat, betalas senast den 11:e dagen varje månad</t>
  </si>
  <si>
    <t>euro</t>
  </si>
  <si>
    <t>euro/invånare</t>
  </si>
  <si>
    <t>2. Statsandelarna för utbildnings- och kulturverksamheten</t>
  </si>
  <si>
    <t>euro)</t>
  </si>
  <si>
    <t>Social- och hälsovårdens kalkylerade kostnader 2013</t>
  </si>
  <si>
    <t>Direktiv</t>
  </si>
  <si>
    <t>= fyll i kommunens uppgifter i de gula fälten</t>
  </si>
  <si>
    <t>= kontrollera de nationella uppgifterna i de gröna fälten</t>
  </si>
  <si>
    <t>Kommun</t>
  </si>
  <si>
    <t>antal</t>
  </si>
  <si>
    <t>baspris</t>
  </si>
  <si>
    <t>koefficient</t>
  </si>
  <si>
    <t>Åldersstrukturen</t>
  </si>
  <si>
    <t>0-6-åringar</t>
  </si>
  <si>
    <t>7-64-åringar</t>
  </si>
  <si>
    <t>65-74-åringar</t>
  </si>
  <si>
    <t>75-84-åringar</t>
  </si>
  <si>
    <t>yli 84-åringar</t>
  </si>
  <si>
    <t>Kalkylerade</t>
  </si>
  <si>
    <t>kostnader, euro</t>
  </si>
  <si>
    <t>Sammanlagt enligt åldersstruktur</t>
  </si>
  <si>
    <t>Enligt antal omhändertagna:</t>
  </si>
  <si>
    <t>Enligt gravt handikapp:</t>
  </si>
  <si>
    <t>Enligt arbetslöshet:</t>
  </si>
  <si>
    <t>Enligt antalet arbetslösa</t>
  </si>
  <si>
    <t>Enligt arbetslöshetsgraden</t>
  </si>
  <si>
    <t>% (hela landet)</t>
  </si>
  <si>
    <t>% (kommunen)</t>
  </si>
  <si>
    <t>Socialvården sammanlagt</t>
  </si>
  <si>
    <t>HÄLSOVÅRDEN</t>
  </si>
  <si>
    <t>Åldersstruktur</t>
  </si>
  <si>
    <t>Sammanlagt enligt åldersstruktur:</t>
  </si>
  <si>
    <t>Enligt sjukfrekvens</t>
  </si>
  <si>
    <t>Antal</t>
  </si>
  <si>
    <t>Hälsovården sammanlagt</t>
  </si>
  <si>
    <t>Social- och hälsovårdens kalkylmässiga kostnader sammanlagt</t>
  </si>
  <si>
    <t>före fjärrortskoefficienten</t>
  </si>
  <si>
    <r>
      <t xml:space="preserve">Tillägg för avsides läge </t>
    </r>
    <r>
      <rPr>
        <sz val="10"/>
        <rFont val="Arial"/>
        <family val="2"/>
      </rPr>
      <t>(värde: 0, 0,05, 0,08, 0,17 eller 0,10)</t>
    </r>
  </si>
  <si>
    <t>Social- och hälsovårdens kalkylerade kostnader sammanlagt</t>
  </si>
  <si>
    <t>(Uppgifterna överförs automatiskt till tabell "2.Sammandrag")</t>
  </si>
  <si>
    <t>Förskole- och grundskoleutbutb. och bibliotekens kalkylmässiga kostnader samt</t>
  </si>
  <si>
    <t>den allmänna kulturverksamhetens och konstnärliga grundutb. kalkylerade grund 2013</t>
  </si>
  <si>
    <t>FÖRSKOLA OCH GRUNDLÄGGANDE UTBILDNING</t>
  </si>
  <si>
    <t>Grundläggande utbildningens pris</t>
  </si>
  <si>
    <t>6-åringar</t>
  </si>
  <si>
    <t>7-12-åringar</t>
  </si>
  <si>
    <t>13-15-åringar</t>
  </si>
  <si>
    <t>6-15-åringar</t>
  </si>
  <si>
    <t>Grunddel</t>
  </si>
  <si>
    <t>Förhöjningar i grunddelen</t>
  </si>
  <si>
    <r>
      <t>Befolkningstäthet (om under 40/km</t>
    </r>
    <r>
      <rPr>
        <vertAlign val="superscript"/>
        <sz val="10"/>
        <rFont val="Arial"/>
        <family val="2"/>
      </rPr>
      <t>2</t>
    </r>
    <r>
      <rPr>
        <sz val="10"/>
        <rFont val="Arial"/>
        <family val="2"/>
      </rPr>
      <t>):</t>
    </r>
  </si>
  <si>
    <t>Befolkningstäthetens tilläggsökning om under 4 inv./km2:</t>
  </si>
  <si>
    <t xml:space="preserve"> Antalet13-15-åringar</t>
  </si>
  <si>
    <t>Tvåspråkig kommun (om är, värde=1)</t>
  </si>
  <si>
    <t>Skärgårdskommun 1 (om är, värde=1)</t>
  </si>
  <si>
    <t>Skärgårdkommun 2 (om är, värde=1)</t>
  </si>
  <si>
    <t>Antalet svenskspråkiga 6-15 -åringar</t>
  </si>
  <si>
    <t>Antalet 6-15 -åringar med främmande språk</t>
  </si>
  <si>
    <t>Förhöjningarna sammanlagt</t>
  </si>
  <si>
    <t>Förskole- och grundutbildningens kalkylmässiga kostnader sammanlagt</t>
  </si>
  <si>
    <t>BIBLIOTEK OCH KULTURVERKSAMHET</t>
  </si>
  <si>
    <t>Bibliotek</t>
  </si>
  <si>
    <t>Allmän grunddel</t>
  </si>
  <si>
    <t>Kommunens grunddel</t>
  </si>
  <si>
    <t>Bibliotek sammanlagt</t>
  </si>
  <si>
    <t>Allmän kulturverksamhet</t>
  </si>
  <si>
    <t>Konstnärlig grundutbildning</t>
  </si>
  <si>
    <t xml:space="preserve"> - Ordnar kommunen konstnärlig grundutb.?</t>
  </si>
  <si>
    <t>(tomt eller 1)</t>
  </si>
  <si>
    <t>Förskolans och grundläggande utb. och kulturtjänsternas kalkylerade kostn. sammanlagt</t>
  </si>
  <si>
    <t>Allmän del samt tillägg för bl.a. särskilt gles bosättning 2013</t>
  </si>
  <si>
    <t>ALLMÄN DEL</t>
  </si>
  <si>
    <t>Den allmänna delens grundpris</t>
  </si>
  <si>
    <t>Förhöjningar</t>
  </si>
  <si>
    <t>Tvåspråkig kommun och kommun på</t>
  </si>
  <si>
    <t>samernas hembygdsområde (om är, värde=1)</t>
  </si>
  <si>
    <t>Skärgårdsförhållanden:</t>
  </si>
  <si>
    <t xml:space="preserve">  -Minst hälften av invånarna saknar fast väg-</t>
  </si>
  <si>
    <r>
      <t xml:space="preserve">  </t>
    </r>
    <r>
      <rPr>
        <i/>
        <sz val="10"/>
        <rFont val="Arial"/>
        <family val="2"/>
      </rPr>
      <t>-Kommun med skärgårdsdel:</t>
    </r>
    <r>
      <rPr>
        <sz val="10"/>
        <rFont val="Arial"/>
        <family val="2"/>
      </rPr>
      <t xml:space="preserve"> Antal invånare</t>
    </r>
  </si>
  <si>
    <r>
      <t xml:space="preserve">Mängden tätortsbefolkning </t>
    </r>
    <r>
      <rPr>
        <sz val="8"/>
        <rFont val="Arial"/>
        <family val="2"/>
      </rPr>
      <t xml:space="preserve">(förhöjning om </t>
    </r>
  </si>
  <si>
    <t>minst 40 000):</t>
  </si>
  <si>
    <t>(0 eller 1)</t>
  </si>
  <si>
    <t>invånare</t>
  </si>
  <si>
    <t>sammanlagt</t>
  </si>
  <si>
    <t xml:space="preserve">   förbindelse </t>
  </si>
  <si>
    <t xml:space="preserve">  -Övrig skärgårdskommun </t>
  </si>
  <si>
    <t xml:space="preserve">   i skärgårdsdelar / ifall minst 1100,</t>
  </si>
  <si>
    <t xml:space="preserve">   förhöjt baspris:</t>
  </si>
  <si>
    <t xml:space="preserve">  -1,50 eller större</t>
  </si>
  <si>
    <t>Befolkningstätheten högst 0,50 invånare/km2</t>
  </si>
  <si>
    <t>Förändring i invånarantal perioden 31.12.2008</t>
  </si>
  <si>
    <t>31.12.2011 minst +/- 6 %</t>
  </si>
  <si>
    <t>Allmän del sammanlagt</t>
  </si>
  <si>
    <t xml:space="preserve">TILLÄGG FÖR SPECIELLT GLES BEBYGGELSE, SKÄRGÅRDSKOMMUN SAMT </t>
  </si>
  <si>
    <t>KOMMUNER SOM HÖR TILL SAMERNAS HEMBYGGDSOMRÅDE</t>
  </si>
  <si>
    <t>Särskilt gles bosättning</t>
  </si>
  <si>
    <r>
      <t xml:space="preserve"> - mindre än 0,5 inv/km</t>
    </r>
    <r>
      <rPr>
        <vertAlign val="superscript"/>
        <sz val="10"/>
        <rFont val="Arial"/>
        <family val="2"/>
      </rPr>
      <t>2</t>
    </r>
    <r>
      <rPr>
        <sz val="10"/>
        <rFont val="Arial"/>
        <family val="2"/>
      </rPr>
      <t xml:space="preserve"> </t>
    </r>
  </si>
  <si>
    <r>
      <t xml:space="preserve"> - 0,50 - 1,49 inv/km</t>
    </r>
    <r>
      <rPr>
        <vertAlign val="superscript"/>
        <sz val="10"/>
        <rFont val="Arial"/>
        <family val="2"/>
      </rPr>
      <t>2</t>
    </r>
    <r>
      <rPr>
        <sz val="10"/>
        <rFont val="Arial"/>
        <family val="2"/>
      </rPr>
      <t xml:space="preserve"> </t>
    </r>
  </si>
  <si>
    <r>
      <t xml:space="preserve"> - 1,50 - 1,99 inv/km</t>
    </r>
    <r>
      <rPr>
        <vertAlign val="superscript"/>
        <sz val="10"/>
        <rFont val="Arial"/>
        <family val="2"/>
      </rPr>
      <t>2</t>
    </r>
    <r>
      <rPr>
        <sz val="10"/>
        <rFont val="Arial"/>
        <family val="2"/>
      </rPr>
      <t xml:space="preserve"> </t>
    </r>
  </si>
  <si>
    <t xml:space="preserve"> - utan vägförbindelse </t>
  </si>
  <si>
    <t xml:space="preserve"> - övriga skärgårdskommuner</t>
  </si>
  <si>
    <t>Sametillägg:</t>
  </si>
  <si>
    <t xml:space="preserve"> - över 30 % </t>
  </si>
  <si>
    <t>Minskningar och ökningar i statsandelarna</t>
  </si>
  <si>
    <t>MINSKNINGAR</t>
  </si>
  <si>
    <t>Statens och kommunernas gemensama informatiossystemsanskaffningar</t>
  </si>
  <si>
    <t xml:space="preserve">Finansiering av höjningen av den behovsprövande </t>
  </si>
  <si>
    <t>statsandelen</t>
  </si>
  <si>
    <t>Fin. av statsandel för särsk. gles bosättning</t>
  </si>
  <si>
    <t xml:space="preserve">hemområdskommunens finansiering av tilläggen </t>
  </si>
  <si>
    <t>ÖKNINGAR</t>
  </si>
  <si>
    <t>Arbetsmarknadsstödskompensation (+/-)</t>
  </si>
  <si>
    <t>Kompensation för förlorade skatteinkomster 2010</t>
  </si>
  <si>
    <t>Kompensation för förlorade skatteinkomster 2011</t>
  </si>
  <si>
    <t>Kompensation för förlorade skatteinkomster 2012</t>
  </si>
  <si>
    <t>Kompensation för förlorade skatteinkomster 2013</t>
  </si>
  <si>
    <t>Neutraliteten i skatteutjämningen</t>
  </si>
  <si>
    <t>Arbetsmarknadsstödet och kompensationer för förlorade skatteintäkter sammanlagt (uppsk. 15.6.2012)</t>
  </si>
  <si>
    <t>Ökningar sammanlagt</t>
  </si>
  <si>
    <t>ÖKNINGAR OCH MINSKNINGAR SAMMANLAGT</t>
  </si>
  <si>
    <t>Utjämning pga av systemändring</t>
  </si>
  <si>
    <t>Fyll i de kommunvisa uppgifterna i de gula cellerna</t>
  </si>
  <si>
    <t xml:space="preserve">För- och grundläggande utbildningen samt kulturtjänsternas kalkylerade kostnader </t>
  </si>
  <si>
    <t xml:space="preserve">Hemkommunsersättningar </t>
  </si>
  <si>
    <t>HEMKOMMUNSERSÄTTN. SOM SKALL BETALAS</t>
  </si>
  <si>
    <t>Grund</t>
  </si>
  <si>
    <t>Betalas sammanlagt</t>
  </si>
  <si>
    <t>ERHÅLLNA HEMKOMMUNSERSÄTTN.</t>
  </si>
  <si>
    <t>Hemkommun:</t>
  </si>
  <si>
    <t>Grunder för hemkommunsersättningar för förskola-</t>
  </si>
  <si>
    <t>och grundläggande utbildning 2012</t>
  </si>
  <si>
    <t>Källa: Finlands Kommunförbund 16.8.2012</t>
  </si>
  <si>
    <t>Hemkommun-</t>
  </si>
  <si>
    <t>ersättningens</t>
  </si>
  <si>
    <t>grunddel</t>
  </si>
  <si>
    <t>Kommun-</t>
  </si>
  <si>
    <t>nummer</t>
  </si>
  <si>
    <t>Esbo</t>
  </si>
  <si>
    <t>Statandelar för undervisning och kultur</t>
  </si>
  <si>
    <t>- varav under 29-åringar</t>
  </si>
  <si>
    <t>Befolkningstäthet, ifall &gt; 100</t>
  </si>
  <si>
    <r>
      <t>inv./mark-km</t>
    </r>
    <r>
      <rPr>
        <vertAlign val="superscript"/>
        <sz val="10"/>
        <rFont val="Arial"/>
        <family val="2"/>
      </rPr>
      <t>2</t>
    </r>
    <r>
      <rPr>
        <sz val="10"/>
        <rFont val="Arial"/>
        <family val="0"/>
      </rPr>
      <t>.</t>
    </r>
  </si>
  <si>
    <t>Gymnasium</t>
  </si>
  <si>
    <t>(Förflyttas från mellanbladet "Gymnasier")</t>
  </si>
  <si>
    <t>Yrkesutbildning</t>
  </si>
  <si>
    <t>Enligt separat kalkyl</t>
  </si>
  <si>
    <t>Yrkeshögskola</t>
  </si>
  <si>
    <t>Läroavtalsutbildning (grund- och tilläggsutb.)</t>
  </si>
  <si>
    <t>Yrkesinriktad tilläggsutbildning i läroanstaltsform</t>
  </si>
  <si>
    <t>Eventuella övriga tillägg</t>
  </si>
  <si>
    <t>Kalkylerad grund sammanlagt för statsandelen i huvudmannamodellen</t>
  </si>
  <si>
    <t>Kommunens finansieringsandel i h.m.mod.</t>
  </si>
  <si>
    <t>Finansieringskalkyl  2012 (på finska): http://vos.uta.fi/rap/vos/v12/ze6oc12.xls</t>
  </si>
  <si>
    <t>Statsandelen i huvudmannamodellen</t>
  </si>
  <si>
    <t>ANNAN ÄN ÅLDERSGRUPPBASERAD FINANSIERING ÅT UPPRÄTTHÅLLARE</t>
  </si>
  <si>
    <t>Förlängd läroplikt</t>
  </si>
  <si>
    <t xml:space="preserve">  Handikappade</t>
  </si>
  <si>
    <t xml:space="preserve">  Gravt handikappade</t>
  </si>
  <si>
    <t>Påbyggnadsundervisning</t>
  </si>
  <si>
    <t>Ämnesstudier</t>
  </si>
  <si>
    <t>Flexibel grundläggande</t>
  </si>
  <si>
    <t>utbildning</t>
  </si>
  <si>
    <t>Förberedande under-</t>
  </si>
  <si>
    <t>visning för invandrare</t>
  </si>
  <si>
    <t>Andra än läropliktiga</t>
  </si>
  <si>
    <t xml:space="preserve">  Grundl. utbildn. åt 5-åringar</t>
  </si>
  <si>
    <t xml:space="preserve">  Vuxenelever (- 49%)</t>
  </si>
  <si>
    <t>Internatskoletillägg</t>
  </si>
  <si>
    <t>Pris per</t>
  </si>
  <si>
    <t>Elev-</t>
  </si>
  <si>
    <t>Koeffi-</t>
  </si>
  <si>
    <t>enhet</t>
  </si>
  <si>
    <t>Enhet</t>
  </si>
  <si>
    <t>cient</t>
  </si>
  <si>
    <t>Grundl.utbildn.grundpris</t>
  </si>
  <si>
    <t>Hemkommunsers. grunddel</t>
  </si>
  <si>
    <t>Pris per enhet</t>
  </si>
  <si>
    <t>Yrkesm.utbildn.genomsn.pris</t>
  </si>
  <si>
    <t>Förskole- och grundläggande utbildningens elevbaserade tillägg sammanlagt</t>
  </si>
  <si>
    <t>OBS! Uppgifter gällande år 2012 finansiering (på finska): http://vos.uta.fi/cgi-bin/tiedot1r.cgi?tnimi=vos/v12/vos6sl12.lis#i</t>
  </si>
  <si>
    <t>STATSANDELAR ENLIGT HUVUDMANNAMODELLEN</t>
  </si>
  <si>
    <r>
      <t>1)</t>
    </r>
    <r>
      <rPr>
        <i/>
        <sz val="10"/>
        <rFont val="Arial"/>
        <family val="2"/>
      </rPr>
      <t>Kalkylerat elevantal = antalet läroämnen dividerat med talet 15</t>
    </r>
  </si>
  <si>
    <t>STATSANDELAR SOM INTE INGÅR I SJÄLVFINANSIERINGSKALKYLEN</t>
  </si>
  <si>
    <t>enhets-</t>
  </si>
  <si>
    <t>pres-</t>
  </si>
  <si>
    <t>statsand.</t>
  </si>
  <si>
    <t>utjämn.</t>
  </si>
  <si>
    <t>pris</t>
  </si>
  <si>
    <t>tationer</t>
  </si>
  <si>
    <t>procent</t>
  </si>
  <si>
    <t>koeff.</t>
  </si>
  <si>
    <t>Sida 2</t>
  </si>
  <si>
    <t>€/timme</t>
  </si>
  <si>
    <t>€/antal timmar</t>
  </si>
  <si>
    <t>€/under 29 år</t>
  </si>
  <si>
    <t>€/årsverke</t>
  </si>
  <si>
    <t>Utbildning- och kulturverksamhetens finansieringsandelar sammanlagt</t>
  </si>
  <si>
    <t>Utbildning- och kulturverksamhetens statsandelar sammanlagt</t>
  </si>
  <si>
    <t>GYMNASIETS STATSANDEL</t>
  </si>
  <si>
    <t>15.6.2012 / Kommunförbundet, SL</t>
  </si>
  <si>
    <t>GYMNASIETS ENHETSPRIS</t>
  </si>
  <si>
    <t>Genomsnittligt enhetspris</t>
  </si>
  <si>
    <t>Utjämningskoefficient</t>
  </si>
  <si>
    <t>Finskspråkig gymnasieutbildn. 20.9.2011:1)</t>
  </si>
  <si>
    <t>Svenskspråkig gymnasieutbildning 20.9.2011:1)</t>
  </si>
  <si>
    <t>Poäng</t>
  </si>
  <si>
    <t>Sammanlagt</t>
  </si>
  <si>
    <t>Vägt nyckeltal:</t>
  </si>
  <si>
    <t>Pris per enhetspris enligt nyckelt:</t>
  </si>
  <si>
    <t>Specialtillägg (%)</t>
  </si>
  <si>
    <t>Gymnasiets pris per enhet 2012:</t>
  </si>
  <si>
    <t>Pris per enhet för vuxenstuderande 2012:</t>
  </si>
  <si>
    <t>€/elev</t>
  </si>
  <si>
    <t>1) Uppgiften behövs endast ifall elevantalet understiger 200 i den ena eller båda språkgruppen.</t>
  </si>
  <si>
    <t>KALKYLERAD STATSANDELSGRUND</t>
  </si>
  <si>
    <t>Uppskattat elevantal 20.1.2012</t>
  </si>
  <si>
    <t>Uppskattat elevantal 20.9.2012</t>
  </si>
  <si>
    <t>Vägt elevantal</t>
  </si>
  <si>
    <t>Kalkylerat antal studerande som bedriver ämnesstudier 3)</t>
  </si>
  <si>
    <t>elever</t>
  </si>
  <si>
    <t xml:space="preserve">Antal </t>
  </si>
  <si>
    <t>elever 1)</t>
  </si>
  <si>
    <t>Vuxen-</t>
  </si>
  <si>
    <t>stud. 2)</t>
  </si>
  <si>
    <t>2) Exklusive kalkylerat antal studerande som bedriver ämnesstudier.</t>
  </si>
  <si>
    <t>3) Läsårets kursantal dividerat med talet 15. Ämnesstudiekurser som bedrivs i andra läroinrättningar</t>
  </si>
  <si>
    <t xml:space="preserve">   beaktas inte.</t>
  </si>
  <si>
    <t>Den kalkylmässiga grunden för gymnasiets enhetsprisfinansiering</t>
  </si>
  <si>
    <t>Klicka cellen aktiv och välj kommun ur tabellen (på finska)</t>
  </si>
  <si>
    <t>kostnader</t>
  </si>
  <si>
    <t xml:space="preserve"> euro</t>
  </si>
  <si>
    <t>Tilläggsdelar för särskilt gles bosättning, skärgårdskommuner och kommuner inom</t>
  </si>
  <si>
    <t>samernas hembygdsområde</t>
  </si>
  <si>
    <t>Hemkommunersättningar som erhålls sammanlagt:</t>
  </si>
  <si>
    <t>SOCIALVÅRDEN</t>
  </si>
  <si>
    <t>OBS! Kommunens namn i "Hemkommun" -fältet skall skrivas på exakt samma sätt som i tabellen till höger</t>
  </si>
  <si>
    <t>Kalkylerad statsandelsgrund för gymnasie-elever:</t>
  </si>
  <si>
    <t>Kalkylerad statsandelsgrund för vuxenstuderande:</t>
  </si>
  <si>
    <t>Kalkylerad statsandelsgrund för ämnesstuderande:</t>
  </si>
  <si>
    <t>Allmän basdel</t>
  </si>
  <si>
    <t>Kommunens basdel</t>
  </si>
  <si>
    <t>Medborgarinstitut</t>
  </si>
  <si>
    <t>Musikinstitut</t>
  </si>
  <si>
    <t>(Konstnärlig grundutbildning)</t>
  </si>
  <si>
    <t>Muséer</t>
  </si>
  <si>
    <t>Teatrar</t>
  </si>
  <si>
    <t>Orkestrar</t>
  </si>
  <si>
    <t>Motion</t>
  </si>
  <si>
    <t>Morgon- och eftermiddagsverks.</t>
  </si>
  <si>
    <t>Ungdomsverksamhet</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</si>
</sst>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0000"/>
    <numFmt numFmtId="165" formatCode="#,##0.000000000"/>
    <numFmt numFmtId="166" formatCode="#,##0.000"/>
    <numFmt numFmtId="167" formatCode="0.00000000"/>
    <numFmt numFmtId="168" formatCode="#,##0.00000"/>
    <numFmt numFmtId="169" formatCode="#,##0.0000000"/>
    <numFmt numFmtId="170" formatCode="#,##0.000000"/>
    <numFmt numFmtId="171" formatCode="#,##0.0000"/>
    <numFmt numFmtId="172" formatCode="#,##0.0"/>
    <numFmt numFmtId="173" formatCode="0.0000000"/>
    <numFmt numFmtId="174" formatCode="0.000"/>
    <numFmt numFmtId="175" formatCode="&quot;Kyllä&quot;;&quot;Kyllä&quot;;&quot;Ei&quot;"/>
    <numFmt numFmtId="176" formatCode="&quot;Tosi&quot;;&quot;Tosi&quot;;&quot;Epätosi&quot;"/>
    <numFmt numFmtId="177" formatCode="&quot;Käytössä&quot;;&quot;Käytössä&quot;;&quot;Ei käytössä&quot;"/>
    <numFmt numFmtId="178" formatCode="0.0"/>
    <numFmt numFmtId="179" formatCode="[$-40B]d\.\ mmmm&quot;ta &quot;yyyy"/>
    <numFmt numFmtId="180" formatCode="0.000000"/>
    <numFmt numFmtId="181" formatCode="0.00000"/>
    <numFmt numFmtId="182" formatCode="0.0000"/>
    <numFmt numFmtId="183" formatCode="0.000000000000000"/>
    <numFmt numFmtId="184" formatCode="[$€-2]\ #\ ##,000_);[Red]\([$€-2]\ #\ ##,000\)"/>
  </numFmts>
  <fonts count="77">
    <font>
      <sz val="10"/>
      <name val="Arial"/>
      <family val="0"/>
    </font>
    <font>
      <b/>
      <sz val="10"/>
      <name val="Arial"/>
      <family val="2"/>
    </font>
    <font>
      <sz val="8"/>
      <name val="Arial"/>
      <family val="2"/>
    </font>
    <font>
      <b/>
      <sz val="12"/>
      <name val="Arial"/>
      <family val="2"/>
    </font>
    <font>
      <b/>
      <sz val="14"/>
      <name val="Arial"/>
      <family val="2"/>
    </font>
    <font>
      <i/>
      <sz val="10"/>
      <name val="Arial"/>
      <family val="2"/>
    </font>
    <font>
      <sz val="10"/>
      <color indexed="9"/>
      <name val="Arial"/>
      <family val="2"/>
    </font>
    <font>
      <sz val="9"/>
      <name val="Arial"/>
      <family val="2"/>
    </font>
    <font>
      <vertAlign val="superscript"/>
      <sz val="10"/>
      <name val="Arial"/>
      <family val="2"/>
    </font>
    <font>
      <u val="single"/>
      <sz val="10"/>
      <color indexed="12"/>
      <name val="Arial"/>
      <family val="2"/>
    </font>
    <font>
      <u val="single"/>
      <sz val="10"/>
      <color indexed="36"/>
      <name val="Arial"/>
      <family val="2"/>
    </font>
    <font>
      <i/>
      <sz val="8"/>
      <name val="Arial"/>
      <family val="2"/>
    </font>
    <font>
      <b/>
      <sz val="10"/>
      <color indexed="62"/>
      <name val="Arial"/>
      <family val="2"/>
    </font>
    <font>
      <b/>
      <sz val="10"/>
      <color indexed="12"/>
      <name val="Arial"/>
      <family val="2"/>
    </font>
    <font>
      <sz val="14"/>
      <color indexed="62"/>
      <name val="Arial"/>
      <family val="2"/>
    </font>
    <font>
      <sz val="11"/>
      <name val="Arial"/>
      <family val="2"/>
    </font>
    <font>
      <sz val="10"/>
      <name val="Arial Narrow"/>
      <family val="2"/>
    </font>
    <font>
      <sz val="9"/>
      <color indexed="8"/>
      <name val="Arial"/>
      <family val="2"/>
    </font>
    <font>
      <sz val="14"/>
      <name val="Arial"/>
      <family val="2"/>
    </font>
    <font>
      <i/>
      <vertAlign val="superscript"/>
      <sz val="10"/>
      <name val="Arial"/>
      <family val="2"/>
    </font>
    <font>
      <b/>
      <i/>
      <sz val="10"/>
      <name val="Arial"/>
      <family val="2"/>
    </font>
    <font>
      <sz val="10"/>
      <color indexed="24"/>
      <name val="Arial"/>
      <family val="2"/>
    </font>
    <font>
      <sz val="9"/>
      <name val="Tahoma"/>
      <family val="2"/>
    </font>
    <font>
      <b/>
      <sz val="9"/>
      <name val="Tahoma"/>
      <family val="2"/>
    </font>
    <font>
      <b/>
      <sz val="11"/>
      <name val="Arial"/>
      <family val="2"/>
    </font>
    <font>
      <sz val="11"/>
      <color indexed="8"/>
      <name val="Calibri"/>
      <family val="2"/>
    </font>
    <font>
      <sz val="11"/>
      <color indexed="9"/>
      <name val="Calibri"/>
      <family val="2"/>
    </font>
    <font>
      <sz val="11"/>
      <color indexed="20"/>
      <name val="Calibri"/>
      <family val="2"/>
    </font>
    <font>
      <sz val="11"/>
      <color indexed="17"/>
      <name val="Calibri"/>
      <family val="2"/>
    </font>
    <font>
      <b/>
      <sz val="11"/>
      <color indexed="52"/>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b/>
      <i/>
      <sz val="10"/>
      <color indexed="30"/>
      <name val="Arial"/>
      <family val="2"/>
    </font>
    <font>
      <i/>
      <sz val="10"/>
      <color indexed="10"/>
      <name val="Arial"/>
      <family val="2"/>
    </font>
    <font>
      <sz val="10"/>
      <color indexed="55"/>
      <name val="Arial"/>
      <family val="2"/>
    </font>
    <font>
      <i/>
      <sz val="10"/>
      <color indexed="57"/>
      <name val="Arial"/>
      <family val="2"/>
    </font>
    <font>
      <b/>
      <sz val="14"/>
      <color indexed="30"/>
      <name val="Calibri"/>
      <family val="0"/>
    </font>
    <font>
      <b/>
      <i/>
      <sz val="11"/>
      <color indexed="30"/>
      <name val="Calibri"/>
      <family val="0"/>
    </font>
    <font>
      <b/>
      <sz val="11"/>
      <color indexed="53"/>
      <name val="Calibri"/>
      <family val="0"/>
    </font>
    <font>
      <b/>
      <sz val="11"/>
      <color indexed="57"/>
      <name val="Calibri"/>
      <family val="0"/>
    </font>
    <font>
      <b/>
      <sz val="11"/>
      <color indexed="30"/>
      <name val="Calibri"/>
      <family val="0"/>
    </font>
    <font>
      <sz val="11"/>
      <color indexed="49"/>
      <name val="Calibri"/>
      <family val="0"/>
    </font>
    <font>
      <sz val="11"/>
      <color indexed="30"/>
      <name val="Calibri"/>
      <family val="0"/>
    </font>
    <font>
      <sz val="11"/>
      <color theme="1"/>
      <name val="Calibri"/>
      <family val="2"/>
    </font>
    <font>
      <sz val="11"/>
      <color theme="0"/>
      <name val="Calibri"/>
      <family val="2"/>
    </font>
    <font>
      <sz val="11"/>
      <color rgb="FF9C0006"/>
      <name val="Calibri"/>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b/>
      <i/>
      <sz val="10"/>
      <color rgb="FF0070C0"/>
      <name val="Arial"/>
      <family val="2"/>
    </font>
    <font>
      <sz val="10"/>
      <color theme="0"/>
      <name val="Arial"/>
      <family val="2"/>
    </font>
    <font>
      <i/>
      <sz val="10"/>
      <color rgb="FFFF0000"/>
      <name val="Arial"/>
      <family val="2"/>
    </font>
    <font>
      <sz val="10"/>
      <color theme="0" tint="-0.24997000396251678"/>
      <name val="Arial"/>
      <family val="2"/>
    </font>
    <font>
      <sz val="10"/>
      <color theme="0" tint="-0.3499799966812134"/>
      <name val="Arial"/>
      <family val="2"/>
    </font>
    <font>
      <i/>
      <sz val="10"/>
      <color theme="6" tint="-0.24997000396251678"/>
      <name val="Arial"/>
      <family val="2"/>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indexed="43"/>
        <bgColor indexed="64"/>
      </patternFill>
    </fill>
    <fill>
      <patternFill patternType="solid">
        <fgColor theme="0" tint="-0.1499900072813034"/>
        <bgColor indexed="64"/>
      </patternFill>
    </fill>
    <fill>
      <patternFill patternType="solid">
        <fgColor theme="0"/>
        <bgColor indexed="64"/>
      </patternFill>
    </fill>
    <fill>
      <patternFill patternType="solid">
        <fgColor rgb="FFFFFF99"/>
        <bgColor indexed="64"/>
      </patternFill>
    </fill>
    <fill>
      <patternFill patternType="solid">
        <fgColor theme="3" tint="0.7999799847602844"/>
        <bgColor indexed="64"/>
      </patternFill>
    </fill>
    <fill>
      <patternFill patternType="solid">
        <fgColor theme="0" tint="-0.149959996342659"/>
        <bgColor indexed="64"/>
      </patternFill>
    </fill>
  </fills>
  <borders count="32">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double"/>
    </border>
    <border>
      <left>
        <color indexed="63"/>
      </left>
      <right>
        <color indexed="63"/>
      </right>
      <top>
        <color indexed="63"/>
      </top>
      <bottom style="double"/>
    </border>
    <border>
      <left style="thin"/>
      <right style="thin"/>
      <top>
        <color indexed="63"/>
      </top>
      <bottom style="hair"/>
    </border>
    <border>
      <left>
        <color indexed="63"/>
      </left>
      <right style="thin"/>
      <top>
        <color indexed="63"/>
      </top>
      <bottom style="hair"/>
    </border>
    <border>
      <left style="thin"/>
      <right style="thin"/>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double"/>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10" fillId="0" borderId="0" applyNumberFormat="0" applyFill="0" applyBorder="0" applyAlignment="0" applyProtection="0"/>
    <xf numFmtId="0" fontId="0" fillId="26" borderId="1" applyNumberFormat="0" applyFont="0" applyAlignment="0" applyProtection="0"/>
    <xf numFmtId="0" fontId="55" fillId="27" borderId="0" applyNumberFormat="0" applyBorder="0" applyAlignment="0" applyProtection="0"/>
    <xf numFmtId="0" fontId="9" fillId="0" borderId="0" applyNumberFormat="0" applyFill="0" applyBorder="0" applyAlignment="0" applyProtection="0"/>
    <xf numFmtId="0" fontId="56" fillId="28" borderId="0" applyNumberFormat="0" applyBorder="0" applyAlignment="0" applyProtection="0"/>
    <xf numFmtId="0" fontId="57" fillId="29" borderId="2" applyNumberFormat="0" applyAlignment="0" applyProtection="0"/>
    <xf numFmtId="0" fontId="58" fillId="0" borderId="3" applyNumberFormat="0" applyFill="0" applyAlignment="0" applyProtection="0"/>
    <xf numFmtId="0" fontId="59" fillId="30" borderId="0" applyNumberFormat="0" applyBorder="0" applyAlignment="0" applyProtection="0"/>
    <xf numFmtId="0" fontId="0" fillId="0" borderId="0">
      <alignment/>
      <protection/>
    </xf>
    <xf numFmtId="0" fontId="21" fillId="0" borderId="0">
      <alignment/>
      <protection/>
    </xf>
    <xf numFmtId="0" fontId="60" fillId="0" borderId="0" applyNumberFormat="0" applyFill="0" applyBorder="0" applyAlignment="0" applyProtection="0"/>
    <xf numFmtId="0" fontId="61" fillId="0" borderId="4" applyNumberFormat="0" applyFill="0" applyAlignment="0" applyProtection="0"/>
    <xf numFmtId="0" fontId="62" fillId="0" borderId="5" applyNumberFormat="0" applyFill="0" applyAlignment="0" applyProtection="0"/>
    <xf numFmtId="0" fontId="63" fillId="0" borderId="6" applyNumberFormat="0" applyFill="0" applyAlignment="0" applyProtection="0"/>
    <xf numFmtId="0" fontId="6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7" applyNumberFormat="0" applyFill="0" applyAlignment="0" applyProtection="0"/>
    <xf numFmtId="0" fontId="66" fillId="31" borderId="2" applyNumberFormat="0" applyAlignment="0" applyProtection="0"/>
    <xf numFmtId="0" fontId="67" fillId="32" borderId="8" applyNumberFormat="0" applyAlignment="0" applyProtection="0"/>
    <xf numFmtId="0" fontId="68"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358">
    <xf numFmtId="0" fontId="0" fillId="0" borderId="0" xfId="0" applyAlignment="1">
      <alignment/>
    </xf>
    <xf numFmtId="0" fontId="1" fillId="0" borderId="0" xfId="0" applyFont="1" applyAlignment="1">
      <alignment/>
    </xf>
    <xf numFmtId="0" fontId="0" fillId="0" borderId="0" xfId="0" applyFill="1" applyAlignment="1">
      <alignment/>
    </xf>
    <xf numFmtId="0" fontId="0" fillId="0" borderId="0" xfId="0" applyAlignment="1">
      <alignment horizontal="center"/>
    </xf>
    <xf numFmtId="0" fontId="3" fillId="0" borderId="0" xfId="0" applyFont="1" applyAlignment="1">
      <alignment/>
    </xf>
    <xf numFmtId="0" fontId="0" fillId="0" borderId="0" xfId="0" applyFont="1" applyAlignment="1">
      <alignment/>
    </xf>
    <xf numFmtId="0" fontId="0" fillId="0" borderId="0" xfId="0" applyBorder="1" applyAlignment="1" applyProtection="1">
      <alignment/>
      <protection/>
    </xf>
    <xf numFmtId="0" fontId="5" fillId="0" borderId="0" xfId="0" applyFont="1" applyBorder="1" applyAlignment="1" applyProtection="1">
      <alignment/>
      <protection/>
    </xf>
    <xf numFmtId="0" fontId="0" fillId="0" borderId="0" xfId="0" applyAlignment="1" applyProtection="1">
      <alignment/>
      <protection/>
    </xf>
    <xf numFmtId="0" fontId="0" fillId="0" borderId="0" xfId="0" applyFill="1" applyBorder="1" applyAlignment="1" applyProtection="1">
      <alignment/>
      <protection/>
    </xf>
    <xf numFmtId="0" fontId="1" fillId="0" borderId="0" xfId="0" applyFont="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4" fontId="0" fillId="0" borderId="0" xfId="0" applyNumberFormat="1" applyBorder="1" applyAlignment="1" applyProtection="1">
      <alignment/>
      <protection/>
    </xf>
    <xf numFmtId="0" fontId="0" fillId="0" borderId="0" xfId="0" applyFont="1" applyFill="1" applyBorder="1" applyAlignment="1" applyProtection="1">
      <alignment/>
      <protection/>
    </xf>
    <xf numFmtId="0" fontId="0" fillId="0" borderId="0" xfId="0" applyBorder="1" applyAlignment="1" applyProtection="1" quotePrefix="1">
      <alignment/>
      <protection/>
    </xf>
    <xf numFmtId="3" fontId="0" fillId="0" borderId="0" xfId="0" applyNumberFormat="1" applyFill="1" applyBorder="1" applyAlignment="1" applyProtection="1">
      <alignment/>
      <protection/>
    </xf>
    <xf numFmtId="3" fontId="0" fillId="0" borderId="0" xfId="0" applyNumberFormat="1" applyFont="1" applyBorder="1" applyAlignment="1" applyProtection="1">
      <alignment/>
      <protection/>
    </xf>
    <xf numFmtId="0" fontId="0" fillId="0" borderId="0" xfId="0" applyFont="1" applyBorder="1" applyAlignment="1" applyProtection="1">
      <alignment/>
      <protection/>
    </xf>
    <xf numFmtId="3" fontId="1" fillId="0" borderId="0" xfId="0" applyNumberFormat="1" applyFont="1" applyAlignment="1" applyProtection="1">
      <alignment/>
      <protection/>
    </xf>
    <xf numFmtId="0" fontId="0" fillId="0" borderId="0" xfId="0" applyBorder="1" applyAlignment="1" applyProtection="1">
      <alignment horizontal="right"/>
      <protection/>
    </xf>
    <xf numFmtId="3" fontId="6" fillId="0" borderId="0" xfId="0" applyNumberFormat="1" applyFont="1" applyBorder="1" applyAlignment="1" applyProtection="1">
      <alignment/>
      <protection/>
    </xf>
    <xf numFmtId="3" fontId="0" fillId="0" borderId="0" xfId="0" applyNumberFormat="1" applyAlignment="1" applyProtection="1">
      <alignment/>
      <protection/>
    </xf>
    <xf numFmtId="171" fontId="0" fillId="0" borderId="0" xfId="0" applyNumberFormat="1" applyFill="1" applyBorder="1" applyAlignment="1" applyProtection="1">
      <alignment/>
      <protection/>
    </xf>
    <xf numFmtId="2" fontId="0" fillId="0" borderId="0" xfId="0" applyNumberFormat="1" applyFill="1" applyBorder="1" applyAlignment="1" applyProtection="1">
      <alignment/>
      <protection/>
    </xf>
    <xf numFmtId="3" fontId="0" fillId="0" borderId="0" xfId="0" applyNumberFormat="1" applyBorder="1" applyAlignment="1" applyProtection="1">
      <alignment/>
      <protection/>
    </xf>
    <xf numFmtId="3" fontId="1" fillId="0" borderId="0" xfId="0" applyNumberFormat="1" applyFont="1" applyBorder="1" applyAlignment="1" applyProtection="1">
      <alignment/>
      <protection/>
    </xf>
    <xf numFmtId="3" fontId="0" fillId="0" borderId="0" xfId="0" applyNumberFormat="1" applyFont="1" applyFill="1" applyBorder="1" applyAlignment="1" applyProtection="1">
      <alignment/>
      <protection/>
    </xf>
    <xf numFmtId="0" fontId="6" fillId="0" borderId="0" xfId="0" applyFont="1" applyAlignment="1" applyProtection="1">
      <alignment/>
      <protection/>
    </xf>
    <xf numFmtId="2" fontId="6" fillId="0" borderId="0" xfId="0" applyNumberFormat="1" applyFont="1" applyAlignment="1" applyProtection="1">
      <alignment/>
      <protection/>
    </xf>
    <xf numFmtId="2" fontId="0" fillId="0" borderId="0" xfId="0" applyNumberFormat="1" applyAlignment="1" applyProtection="1">
      <alignment/>
      <protection/>
    </xf>
    <xf numFmtId="0" fontId="1" fillId="0" borderId="0" xfId="0" applyFont="1" applyAlignment="1" applyProtection="1">
      <alignment/>
      <protection/>
    </xf>
    <xf numFmtId="2" fontId="0" fillId="0" borderId="0" xfId="0" applyNumberFormat="1" applyBorder="1" applyAlignment="1" applyProtection="1">
      <alignment/>
      <protection/>
    </xf>
    <xf numFmtId="0" fontId="0" fillId="0" borderId="0" xfId="0" applyFont="1" applyAlignment="1" applyProtection="1">
      <alignment/>
      <protection/>
    </xf>
    <xf numFmtId="0" fontId="3" fillId="0" borderId="0" xfId="0" applyFont="1" applyAlignment="1" applyProtection="1">
      <alignment/>
      <protection/>
    </xf>
    <xf numFmtId="3" fontId="0" fillId="33" borderId="10" xfId="0" applyNumberFormat="1" applyFill="1" applyBorder="1" applyAlignment="1" applyProtection="1">
      <alignment/>
      <protection locked="0"/>
    </xf>
    <xf numFmtId="0" fontId="0" fillId="33" borderId="10" xfId="0" applyFill="1" applyBorder="1" applyAlignment="1" applyProtection="1">
      <alignment/>
      <protection locked="0"/>
    </xf>
    <xf numFmtId="9" fontId="0" fillId="0" borderId="0" xfId="0" applyNumberFormat="1" applyFont="1" applyAlignment="1" applyProtection="1">
      <alignment/>
      <protection/>
    </xf>
    <xf numFmtId="3" fontId="0" fillId="0" borderId="0" xfId="0" applyNumberFormat="1" applyFill="1" applyAlignment="1" applyProtection="1">
      <alignment/>
      <protection/>
    </xf>
    <xf numFmtId="9" fontId="0" fillId="0" borderId="0" xfId="0" applyNumberFormat="1" applyAlignment="1" applyProtection="1">
      <alignment/>
      <protection/>
    </xf>
    <xf numFmtId="10" fontId="0" fillId="0" borderId="0" xfId="0" applyNumberFormat="1" applyAlignment="1" applyProtection="1">
      <alignment/>
      <protection/>
    </xf>
    <xf numFmtId="0" fontId="0" fillId="0" borderId="0" xfId="0" applyFont="1" applyAlignment="1" applyProtection="1" quotePrefix="1">
      <alignment/>
      <protection/>
    </xf>
    <xf numFmtId="3" fontId="0" fillId="0" borderId="0" xfId="0" applyNumberFormat="1" applyFill="1" applyAlignment="1" applyProtection="1" quotePrefix="1">
      <alignment/>
      <protection/>
    </xf>
    <xf numFmtId="2" fontId="0" fillId="0" borderId="0" xfId="0" applyNumberFormat="1" applyFill="1" applyAlignment="1" applyProtection="1">
      <alignment/>
      <protection/>
    </xf>
    <xf numFmtId="0" fontId="4" fillId="0" borderId="0" xfId="0" applyFont="1" applyBorder="1" applyAlignment="1">
      <alignment/>
    </xf>
    <xf numFmtId="0" fontId="0" fillId="0" borderId="0" xfId="0" applyFill="1" applyAlignment="1" quotePrefix="1">
      <alignment/>
    </xf>
    <xf numFmtId="173" fontId="0" fillId="0" borderId="0" xfId="0" applyNumberFormat="1" applyFont="1" applyFill="1" applyBorder="1" applyAlignment="1">
      <alignment/>
    </xf>
    <xf numFmtId="3" fontId="0" fillId="33" borderId="10" xfId="0" applyNumberFormat="1" applyFont="1" applyFill="1" applyBorder="1" applyAlignment="1" applyProtection="1">
      <alignment/>
      <protection locked="0"/>
    </xf>
    <xf numFmtId="3" fontId="0" fillId="0" borderId="0" xfId="0" applyNumberFormat="1" applyFont="1" applyFill="1" applyBorder="1" applyAlignment="1">
      <alignment/>
    </xf>
    <xf numFmtId="174" fontId="0" fillId="0" borderId="0" xfId="0" applyNumberFormat="1" applyFill="1" applyBorder="1" applyAlignment="1">
      <alignment/>
    </xf>
    <xf numFmtId="4" fontId="0" fillId="0" borderId="0" xfId="0" applyNumberFormat="1" applyFont="1" applyFill="1" applyBorder="1" applyAlignment="1">
      <alignment/>
    </xf>
    <xf numFmtId="4" fontId="0" fillId="0" borderId="0" xfId="0" applyNumberFormat="1" applyAlignment="1">
      <alignment/>
    </xf>
    <xf numFmtId="171" fontId="7" fillId="0" borderId="0" xfId="0" applyNumberFormat="1" applyFont="1" applyFill="1" applyBorder="1" applyAlignment="1">
      <alignment/>
    </xf>
    <xf numFmtId="3" fontId="0" fillId="0" borderId="0" xfId="0" applyNumberFormat="1" applyFill="1" applyAlignment="1">
      <alignment/>
    </xf>
    <xf numFmtId="0" fontId="8" fillId="0" borderId="0" xfId="0" applyFont="1" applyAlignment="1">
      <alignment/>
    </xf>
    <xf numFmtId="0" fontId="3" fillId="0" borderId="0" xfId="0" applyFont="1" applyBorder="1" applyAlignment="1" applyProtection="1">
      <alignment/>
      <protection/>
    </xf>
    <xf numFmtId="0" fontId="0" fillId="0" borderId="0" xfId="0" applyAlignment="1" quotePrefix="1">
      <alignment/>
    </xf>
    <xf numFmtId="0" fontId="0" fillId="0" borderId="0" xfId="0" applyAlignment="1">
      <alignment horizontal="right"/>
    </xf>
    <xf numFmtId="0" fontId="0" fillId="0" borderId="0" xfId="0" applyFill="1" applyAlignment="1" applyProtection="1">
      <alignment/>
      <protection/>
    </xf>
    <xf numFmtId="4" fontId="0" fillId="0" borderId="10" xfId="0" applyNumberFormat="1" applyFill="1" applyBorder="1" applyAlignment="1">
      <alignment/>
    </xf>
    <xf numFmtId="4" fontId="0" fillId="33" borderId="10" xfId="0" applyNumberFormat="1" applyFill="1" applyBorder="1" applyAlignment="1" applyProtection="1">
      <alignment/>
      <protection locked="0"/>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0" xfId="0" applyBorder="1" applyAlignment="1">
      <alignment horizontal="center"/>
    </xf>
    <xf numFmtId="0" fontId="0" fillId="0" borderId="13" xfId="0" applyBorder="1" applyAlignment="1">
      <alignment horizontal="center"/>
    </xf>
    <xf numFmtId="0" fontId="0" fillId="0" borderId="12" xfId="0" applyBorder="1" applyAlignment="1" quotePrefix="1">
      <alignment/>
    </xf>
    <xf numFmtId="4" fontId="0" fillId="0" borderId="13" xfId="0" applyNumberFormat="1" applyBorder="1" applyAlignment="1">
      <alignment/>
    </xf>
    <xf numFmtId="0" fontId="1" fillId="0" borderId="14" xfId="0" applyFont="1" applyBorder="1" applyAlignment="1">
      <alignment/>
    </xf>
    <xf numFmtId="0" fontId="1" fillId="0" borderId="15" xfId="0" applyFont="1" applyBorder="1" applyAlignment="1">
      <alignment/>
    </xf>
    <xf numFmtId="4" fontId="1" fillId="0" borderId="15" xfId="0" applyNumberFormat="1" applyFont="1" applyBorder="1" applyAlignment="1">
      <alignment/>
    </xf>
    <xf numFmtId="4" fontId="1" fillId="0" borderId="16" xfId="0" applyNumberFormat="1" applyFont="1" applyBorder="1" applyAlignment="1">
      <alignment/>
    </xf>
    <xf numFmtId="4" fontId="1" fillId="0" borderId="10" xfId="0" applyNumberFormat="1" applyFont="1" applyBorder="1" applyAlignment="1">
      <alignment/>
    </xf>
    <xf numFmtId="0" fontId="11" fillId="0" borderId="0" xfId="0" applyFont="1" applyAlignment="1">
      <alignment/>
    </xf>
    <xf numFmtId="0" fontId="11" fillId="0" borderId="0" xfId="0" applyFont="1" applyAlignment="1" quotePrefix="1">
      <alignment/>
    </xf>
    <xf numFmtId="0" fontId="1" fillId="0" borderId="17" xfId="0" applyFont="1" applyBorder="1" applyAlignment="1">
      <alignment/>
    </xf>
    <xf numFmtId="14" fontId="11" fillId="0" borderId="0" xfId="0" applyNumberFormat="1" applyFont="1" applyAlignment="1" quotePrefix="1">
      <alignment/>
    </xf>
    <xf numFmtId="3" fontId="1" fillId="0" borderId="0" xfId="0" applyNumberFormat="1" applyFont="1" applyFill="1" applyAlignment="1">
      <alignment/>
    </xf>
    <xf numFmtId="14" fontId="0" fillId="0" borderId="0" xfId="0" applyNumberFormat="1" applyFont="1" applyAlignment="1" applyProtection="1">
      <alignment/>
      <protection/>
    </xf>
    <xf numFmtId="4" fontId="0" fillId="0" borderId="0" xfId="0" applyNumberFormat="1" applyFill="1" applyAlignment="1" applyProtection="1">
      <alignment/>
      <protection/>
    </xf>
    <xf numFmtId="0" fontId="11" fillId="0" borderId="0" xfId="0" applyFont="1" applyBorder="1" applyAlignment="1" applyProtection="1">
      <alignment/>
      <protection/>
    </xf>
    <xf numFmtId="0" fontId="12" fillId="0" borderId="0" xfId="0" applyFont="1" applyAlignment="1">
      <alignment/>
    </xf>
    <xf numFmtId="0" fontId="13" fillId="0" borderId="0" xfId="0" applyFont="1" applyAlignment="1">
      <alignment/>
    </xf>
    <xf numFmtId="0" fontId="8" fillId="0" borderId="0" xfId="0" applyFont="1" applyAlignment="1" applyProtection="1">
      <alignment/>
      <protection/>
    </xf>
    <xf numFmtId="3" fontId="0" fillId="0" borderId="0" xfId="0" applyNumberFormat="1" applyAlignment="1">
      <alignment/>
    </xf>
    <xf numFmtId="0" fontId="5" fillId="0" borderId="0" xfId="0" applyFont="1" applyAlignment="1" quotePrefix="1">
      <alignment/>
    </xf>
    <xf numFmtId="0" fontId="5" fillId="0" borderId="0" xfId="0" applyFont="1" applyAlignment="1">
      <alignment/>
    </xf>
    <xf numFmtId="0" fontId="5" fillId="0" borderId="0" xfId="0" applyFont="1" applyAlignment="1">
      <alignment horizontal="center"/>
    </xf>
    <xf numFmtId="3" fontId="5" fillId="0" borderId="0" xfId="0" applyNumberFormat="1" applyFont="1" applyAlignment="1">
      <alignment/>
    </xf>
    <xf numFmtId="3" fontId="1" fillId="0" borderId="0" xfId="0" applyNumberFormat="1" applyFont="1" applyBorder="1" applyAlignment="1" applyProtection="1">
      <alignment horizontal="center"/>
      <protection/>
    </xf>
    <xf numFmtId="2" fontId="1" fillId="0" borderId="0" xfId="0" applyNumberFormat="1" applyFont="1" applyBorder="1" applyAlignment="1" applyProtection="1">
      <alignment horizontal="center"/>
      <protection/>
    </xf>
    <xf numFmtId="2" fontId="0" fillId="0" borderId="0" xfId="0" applyNumberFormat="1" applyBorder="1" applyAlignment="1" applyProtection="1">
      <alignment horizontal="center"/>
      <protection/>
    </xf>
    <xf numFmtId="4" fontId="0" fillId="0" borderId="0" xfId="0" applyNumberFormat="1" applyFill="1" applyBorder="1" applyAlignment="1" applyProtection="1">
      <alignment/>
      <protection/>
    </xf>
    <xf numFmtId="2" fontId="0" fillId="0" borderId="0" xfId="0" applyNumberFormat="1" applyAlignment="1" applyProtection="1">
      <alignment horizontal="right"/>
      <protection/>
    </xf>
    <xf numFmtId="2" fontId="0" fillId="0" borderId="0" xfId="0" applyNumberFormat="1" applyAlignment="1">
      <alignment/>
    </xf>
    <xf numFmtId="2" fontId="0" fillId="0" borderId="0" xfId="0" applyNumberFormat="1" applyAlignment="1">
      <alignment horizontal="center"/>
    </xf>
    <xf numFmtId="0" fontId="11" fillId="0" borderId="0" xfId="0" applyFont="1" applyAlignment="1" applyProtection="1">
      <alignment/>
      <protection/>
    </xf>
    <xf numFmtId="3" fontId="0" fillId="0" borderId="0" xfId="0" applyNumberFormat="1" applyFont="1" applyFill="1" applyAlignment="1" applyProtection="1">
      <alignment/>
      <protection/>
    </xf>
    <xf numFmtId="172" fontId="0" fillId="0" borderId="0" xfId="0" applyNumberFormat="1" applyFill="1" applyAlignment="1" applyProtection="1">
      <alignment/>
      <protection/>
    </xf>
    <xf numFmtId="0" fontId="14" fillId="0" borderId="0" xfId="47" applyFont="1">
      <alignment/>
      <protection/>
    </xf>
    <xf numFmtId="0" fontId="15" fillId="0" borderId="0" xfId="47" applyFont="1">
      <alignment/>
      <protection/>
    </xf>
    <xf numFmtId="3" fontId="15" fillId="0" borderId="0" xfId="47" applyNumberFormat="1" applyFont="1">
      <alignment/>
      <protection/>
    </xf>
    <xf numFmtId="0" fontId="0" fillId="33" borderId="10" xfId="0" applyFill="1" applyBorder="1" applyAlignment="1">
      <alignment/>
    </xf>
    <xf numFmtId="3" fontId="0" fillId="33" borderId="10" xfId="0" applyNumberFormat="1" applyFill="1" applyBorder="1" applyAlignment="1" applyProtection="1">
      <alignment/>
      <protection/>
    </xf>
    <xf numFmtId="3" fontId="0" fillId="33" borderId="10" xfId="0" applyNumberFormat="1" applyFill="1" applyBorder="1" applyAlignment="1">
      <alignment/>
    </xf>
    <xf numFmtId="14" fontId="11" fillId="0" borderId="0" xfId="0" applyNumberFormat="1" applyFont="1" applyFill="1" applyAlignment="1" applyProtection="1" quotePrefix="1">
      <alignment/>
      <protection locked="0"/>
    </xf>
    <xf numFmtId="3" fontId="1" fillId="33" borderId="10" xfId="0" applyNumberFormat="1" applyFont="1" applyFill="1" applyBorder="1" applyAlignment="1" quotePrefix="1">
      <alignment/>
    </xf>
    <xf numFmtId="0" fontId="0" fillId="34" borderId="18" xfId="0" applyFill="1" applyBorder="1" applyAlignment="1">
      <alignment/>
    </xf>
    <xf numFmtId="3" fontId="1" fillId="34" borderId="19" xfId="0" applyNumberFormat="1" applyFont="1" applyFill="1" applyBorder="1" applyAlignment="1">
      <alignment/>
    </xf>
    <xf numFmtId="0" fontId="0" fillId="0" borderId="0" xfId="0" applyFont="1" applyAlignment="1" applyProtection="1">
      <alignment horizontal="left"/>
      <protection/>
    </xf>
    <xf numFmtId="4" fontId="0" fillId="0" borderId="0" xfId="0" applyNumberFormat="1" applyFont="1" applyAlignment="1" applyProtection="1">
      <alignment/>
      <protection/>
    </xf>
    <xf numFmtId="4" fontId="1" fillId="0" borderId="0" xfId="0" applyNumberFormat="1" applyFont="1" applyBorder="1" applyAlignment="1" applyProtection="1">
      <alignment/>
      <protection/>
    </xf>
    <xf numFmtId="3" fontId="0" fillId="0" borderId="0" xfId="0" applyNumberFormat="1" applyFont="1" applyAlignment="1" applyProtection="1">
      <alignment/>
      <protection/>
    </xf>
    <xf numFmtId="4" fontId="1" fillId="0" borderId="0" xfId="0" applyNumberFormat="1" applyFont="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right"/>
      <protection/>
    </xf>
    <xf numFmtId="0" fontId="1" fillId="35" borderId="20" xfId="0" applyFont="1" applyFill="1" applyBorder="1" applyAlignment="1">
      <alignment/>
    </xf>
    <xf numFmtId="0" fontId="0" fillId="35" borderId="18" xfId="0" applyFill="1" applyBorder="1" applyAlignment="1">
      <alignment/>
    </xf>
    <xf numFmtId="3" fontId="1" fillId="35" borderId="19" xfId="0" applyNumberFormat="1" applyFont="1" applyFill="1" applyBorder="1" applyAlignment="1">
      <alignment/>
    </xf>
    <xf numFmtId="0" fontId="1" fillId="34" borderId="20" xfId="0" applyFont="1" applyFill="1" applyBorder="1" applyAlignment="1" applyProtection="1">
      <alignment/>
      <protection/>
    </xf>
    <xf numFmtId="0" fontId="1" fillId="34" borderId="18" xfId="0" applyFont="1" applyFill="1" applyBorder="1" applyAlignment="1" applyProtection="1">
      <alignment/>
      <protection/>
    </xf>
    <xf numFmtId="0" fontId="70" fillId="0" borderId="0" xfId="0" applyFont="1" applyAlignment="1" applyProtection="1">
      <alignment/>
      <protection/>
    </xf>
    <xf numFmtId="178" fontId="0" fillId="33" borderId="10" xfId="0" applyNumberFormat="1" applyFont="1" applyFill="1" applyBorder="1" applyAlignment="1" applyProtection="1">
      <alignment/>
      <protection locked="0"/>
    </xf>
    <xf numFmtId="4" fontId="0" fillId="33" borderId="10" xfId="0" applyNumberFormat="1" applyFont="1" applyFill="1" applyBorder="1" applyAlignment="1" applyProtection="1">
      <alignment/>
      <protection locked="0"/>
    </xf>
    <xf numFmtId="4" fontId="0" fillId="0" borderId="0" xfId="0" applyNumberFormat="1" applyFont="1" applyFill="1" applyAlignment="1" applyProtection="1">
      <alignment/>
      <protection/>
    </xf>
    <xf numFmtId="4" fontId="1" fillId="34" borderId="18" xfId="0" applyNumberFormat="1" applyFont="1" applyFill="1" applyBorder="1" applyAlignment="1" applyProtection="1">
      <alignment/>
      <protection/>
    </xf>
    <xf numFmtId="4" fontId="0" fillId="10" borderId="10" xfId="0" applyNumberFormat="1" applyFont="1" applyFill="1" applyBorder="1" applyAlignment="1" applyProtection="1">
      <alignment/>
      <protection locked="0"/>
    </xf>
    <xf numFmtId="178" fontId="0" fillId="10" borderId="10" xfId="0" applyNumberFormat="1" applyFont="1" applyFill="1" applyBorder="1" applyAlignment="1" applyProtection="1">
      <alignment/>
      <protection locked="0"/>
    </xf>
    <xf numFmtId="4" fontId="0" fillId="10" borderId="10" xfId="0" applyNumberFormat="1" applyFill="1" applyBorder="1" applyAlignment="1" applyProtection="1">
      <alignment/>
      <protection locked="0"/>
    </xf>
    <xf numFmtId="2" fontId="0" fillId="10" borderId="10" xfId="0" applyNumberFormat="1" applyFill="1" applyBorder="1" applyAlignment="1" applyProtection="1">
      <alignment/>
      <protection locked="0"/>
    </xf>
    <xf numFmtId="3" fontId="1" fillId="34" borderId="19" xfId="0" applyNumberFormat="1" applyFont="1" applyFill="1" applyBorder="1" applyAlignment="1" applyProtection="1">
      <alignment/>
      <protection/>
    </xf>
    <xf numFmtId="0" fontId="0" fillId="0" borderId="0" xfId="0" applyFont="1" applyAlignment="1" applyProtection="1">
      <alignment horizontal="center"/>
      <protection/>
    </xf>
    <xf numFmtId="0" fontId="1" fillId="34" borderId="18" xfId="0" applyFont="1" applyFill="1" applyBorder="1" applyAlignment="1">
      <alignment/>
    </xf>
    <xf numFmtId="0" fontId="0" fillId="10" borderId="10" xfId="0" applyFill="1" applyBorder="1" applyAlignment="1">
      <alignment/>
    </xf>
    <xf numFmtId="0" fontId="0" fillId="34" borderId="18" xfId="0" applyFont="1" applyFill="1" applyBorder="1" applyAlignment="1">
      <alignment/>
    </xf>
    <xf numFmtId="0" fontId="0" fillId="35" borderId="18" xfId="0" applyFont="1" applyFill="1" applyBorder="1" applyAlignment="1">
      <alignment/>
    </xf>
    <xf numFmtId="0" fontId="0" fillId="35" borderId="18" xfId="0" applyFont="1" applyFill="1" applyBorder="1" applyAlignment="1" applyProtection="1">
      <alignment/>
      <protection/>
    </xf>
    <xf numFmtId="4" fontId="0" fillId="35" borderId="18" xfId="0" applyNumberFormat="1" applyFont="1" applyFill="1" applyBorder="1" applyAlignment="1" applyProtection="1">
      <alignment/>
      <protection/>
    </xf>
    <xf numFmtId="0" fontId="5" fillId="0" borderId="0" xfId="0" applyFont="1" applyAlignment="1" applyProtection="1">
      <alignment horizontal="right"/>
      <protection/>
    </xf>
    <xf numFmtId="0" fontId="5" fillId="0" borderId="0" xfId="0" applyFont="1" applyFill="1" applyAlignment="1" applyProtection="1">
      <alignment horizontal="right"/>
      <protection/>
    </xf>
    <xf numFmtId="3" fontId="1" fillId="0" borderId="0" xfId="0" applyNumberFormat="1" applyFont="1" applyFill="1" applyBorder="1" applyAlignment="1" applyProtection="1">
      <alignment/>
      <protection/>
    </xf>
    <xf numFmtId="0" fontId="0" fillId="33" borderId="21" xfId="0" applyFill="1" applyBorder="1" applyAlignment="1" applyProtection="1">
      <alignment/>
      <protection locked="0"/>
    </xf>
    <xf numFmtId="3" fontId="5" fillId="0" borderId="0" xfId="0" applyNumberFormat="1" applyFont="1" applyBorder="1" applyAlignment="1" applyProtection="1">
      <alignment horizontal="right"/>
      <protection/>
    </xf>
    <xf numFmtId="0" fontId="0" fillId="0" borderId="22" xfId="0" applyBorder="1" applyAlignment="1">
      <alignment/>
    </xf>
    <xf numFmtId="2" fontId="0" fillId="0" borderId="22" xfId="0" applyNumberFormat="1" applyFill="1" applyBorder="1" applyAlignment="1" applyProtection="1">
      <alignment/>
      <protection/>
    </xf>
    <xf numFmtId="3" fontId="0" fillId="0" borderId="22" xfId="0" applyNumberFormat="1" applyBorder="1" applyAlignment="1" applyProtection="1">
      <alignment/>
      <protection/>
    </xf>
    <xf numFmtId="0" fontId="1" fillId="35" borderId="18" xfId="0" applyFont="1" applyFill="1" applyBorder="1" applyAlignment="1" applyProtection="1">
      <alignment/>
      <protection/>
    </xf>
    <xf numFmtId="0" fontId="0" fillId="35" borderId="18" xfId="0" applyFill="1" applyBorder="1" applyAlignment="1" applyProtection="1">
      <alignment/>
      <protection/>
    </xf>
    <xf numFmtId="2" fontId="0" fillId="35" borderId="18" xfId="0" applyNumberFormat="1" applyFill="1" applyBorder="1" applyAlignment="1" applyProtection="1">
      <alignment/>
      <protection/>
    </xf>
    <xf numFmtId="3" fontId="1" fillId="35" borderId="19" xfId="0" applyNumberFormat="1" applyFont="1" applyFill="1" applyBorder="1" applyAlignment="1" applyProtection="1">
      <alignment/>
      <protection/>
    </xf>
    <xf numFmtId="4" fontId="0" fillId="16" borderId="10" xfId="0" applyNumberFormat="1" applyFill="1" applyBorder="1" applyAlignment="1" applyProtection="1">
      <alignment/>
      <protection locked="0"/>
    </xf>
    <xf numFmtId="0" fontId="0" fillId="33" borderId="10" xfId="0" applyFill="1" applyBorder="1" applyAlignment="1" applyProtection="1">
      <alignment horizontal="right"/>
      <protection locked="0"/>
    </xf>
    <xf numFmtId="2" fontId="2" fillId="0" borderId="0" xfId="0" applyNumberFormat="1" applyFont="1" applyAlignment="1" applyProtection="1" quotePrefix="1">
      <alignment/>
      <protection/>
    </xf>
    <xf numFmtId="3" fontId="5" fillId="0" borderId="0" xfId="0" applyNumberFormat="1" applyFont="1" applyFill="1" applyBorder="1" applyAlignment="1" applyProtection="1">
      <alignment/>
      <protection/>
    </xf>
    <xf numFmtId="0" fontId="5" fillId="0" borderId="0" xfId="0" applyFont="1" applyFill="1" applyAlignment="1" applyProtection="1">
      <alignment/>
      <protection/>
    </xf>
    <xf numFmtId="0" fontId="5" fillId="0" borderId="0" xfId="0" applyFont="1" applyAlignment="1" applyProtection="1">
      <alignment/>
      <protection/>
    </xf>
    <xf numFmtId="2" fontId="0" fillId="16" borderId="10" xfId="0" applyNumberFormat="1" applyFill="1" applyBorder="1" applyAlignment="1" applyProtection="1">
      <alignment horizontal="center"/>
      <protection locked="0"/>
    </xf>
    <xf numFmtId="2" fontId="1" fillId="35" borderId="18" xfId="0" applyNumberFormat="1" applyFont="1" applyFill="1" applyBorder="1" applyAlignment="1">
      <alignment/>
    </xf>
    <xf numFmtId="2" fontId="1" fillId="34" borderId="18" xfId="0" applyNumberFormat="1" applyFont="1" applyFill="1" applyBorder="1" applyAlignment="1">
      <alignment/>
    </xf>
    <xf numFmtId="3" fontId="0" fillId="36" borderId="10" xfId="0" applyNumberFormat="1" applyFill="1" applyBorder="1" applyAlignment="1" applyProtection="1">
      <alignment/>
      <protection locked="0"/>
    </xf>
    <xf numFmtId="2" fontId="5" fillId="0" borderId="0" xfId="0" applyNumberFormat="1" applyFont="1" applyAlignment="1">
      <alignment horizontal="right"/>
    </xf>
    <xf numFmtId="3" fontId="5" fillId="0" borderId="0" xfId="0" applyNumberFormat="1" applyFont="1" applyAlignment="1">
      <alignment horizontal="right"/>
    </xf>
    <xf numFmtId="0" fontId="1" fillId="0" borderId="0" xfId="0" applyFont="1" applyBorder="1" applyAlignment="1">
      <alignment/>
    </xf>
    <xf numFmtId="4" fontId="1" fillId="0" borderId="0" xfId="0" applyNumberFormat="1" applyFont="1" applyBorder="1" applyAlignment="1">
      <alignment/>
    </xf>
    <xf numFmtId="0" fontId="11" fillId="0" borderId="0" xfId="0" applyFont="1" applyBorder="1" applyAlignment="1">
      <alignment/>
    </xf>
    <xf numFmtId="0" fontId="17" fillId="16" borderId="23" xfId="47" applyFont="1" applyFill="1" applyBorder="1" applyAlignment="1" applyProtection="1">
      <alignment horizontal="left"/>
      <protection/>
    </xf>
    <xf numFmtId="4" fontId="17" fillId="16" borderId="24" xfId="47" applyNumberFormat="1" applyFont="1" applyFill="1" applyBorder="1" applyAlignment="1" applyProtection="1">
      <alignment horizontal="center"/>
      <protection/>
    </xf>
    <xf numFmtId="0" fontId="7" fillId="16" borderId="25" xfId="47" applyFont="1" applyFill="1" applyBorder="1" applyAlignment="1" applyProtection="1">
      <alignment horizontal="left"/>
      <protection/>
    </xf>
    <xf numFmtId="4" fontId="17" fillId="16" borderId="26" xfId="47" applyNumberFormat="1" applyFont="1" applyFill="1" applyBorder="1" applyAlignment="1" applyProtection="1">
      <alignment horizontal="center"/>
      <protection/>
    </xf>
    <xf numFmtId="0" fontId="17" fillId="16" borderId="25" xfId="47" applyFont="1" applyFill="1" applyBorder="1" applyAlignment="1" applyProtection="1">
      <alignment horizontal="left"/>
      <protection/>
    </xf>
    <xf numFmtId="3" fontId="7" fillId="35" borderId="27" xfId="47" applyNumberFormat="1" applyFont="1" applyFill="1" applyBorder="1">
      <alignment/>
      <protection/>
    </xf>
    <xf numFmtId="3" fontId="7" fillId="35" borderId="28" xfId="47" applyNumberFormat="1" applyFont="1" applyFill="1" applyBorder="1">
      <alignment/>
      <protection/>
    </xf>
    <xf numFmtId="3" fontId="7" fillId="35" borderId="29" xfId="47" applyNumberFormat="1" applyFont="1" applyFill="1" applyBorder="1">
      <alignment/>
      <protection/>
    </xf>
    <xf numFmtId="0" fontId="18" fillId="0" borderId="0" xfId="47" applyFont="1">
      <alignment/>
      <protection/>
    </xf>
    <xf numFmtId="4" fontId="0" fillId="0" borderId="30" xfId="0" applyNumberFormat="1" applyBorder="1" applyAlignment="1">
      <alignment/>
    </xf>
    <xf numFmtId="0" fontId="0" fillId="0" borderId="0" xfId="0" applyFill="1" applyBorder="1" applyAlignment="1">
      <alignment/>
    </xf>
    <xf numFmtId="0" fontId="0" fillId="34" borderId="18" xfId="0" applyFill="1" applyBorder="1" applyAlignment="1" applyProtection="1">
      <alignment/>
      <protection/>
    </xf>
    <xf numFmtId="3" fontId="0" fillId="35" borderId="18" xfId="0" applyNumberFormat="1" applyFill="1" applyBorder="1" applyAlignment="1" applyProtection="1">
      <alignment/>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right"/>
      <protection/>
    </xf>
    <xf numFmtId="0" fontId="19" fillId="0" borderId="0" xfId="0" applyFont="1" applyAlignment="1">
      <alignment/>
    </xf>
    <xf numFmtId="0" fontId="5" fillId="0" borderId="0" xfId="0" applyFont="1" applyAlignment="1">
      <alignment horizontal="right"/>
    </xf>
    <xf numFmtId="0" fontId="1" fillId="0" borderId="0" xfId="0" applyFont="1" applyFill="1" applyBorder="1" applyAlignment="1">
      <alignment/>
    </xf>
    <xf numFmtId="0" fontId="1" fillId="0" borderId="0" xfId="0" applyFont="1" applyFill="1" applyBorder="1" applyAlignment="1" applyProtection="1">
      <alignment/>
      <protection/>
    </xf>
    <xf numFmtId="3" fontId="1" fillId="0" borderId="0" xfId="0" applyNumberFormat="1" applyFont="1" applyAlignment="1">
      <alignment/>
    </xf>
    <xf numFmtId="173" fontId="0" fillId="10" borderId="10" xfId="0" applyNumberFormat="1" applyFont="1" applyFill="1" applyBorder="1" applyAlignment="1" applyProtection="1">
      <alignment/>
      <protection locked="0"/>
    </xf>
    <xf numFmtId="2" fontId="0" fillId="10" borderId="10" xfId="0" applyNumberFormat="1" applyFill="1" applyBorder="1" applyAlignment="1" applyProtection="1">
      <alignment horizontal="center"/>
      <protection locked="0"/>
    </xf>
    <xf numFmtId="2" fontId="0" fillId="10" borderId="10" xfId="0" applyNumberFormat="1" applyFont="1" applyFill="1" applyBorder="1" applyAlignment="1" applyProtection="1">
      <alignment/>
      <protection locked="0"/>
    </xf>
    <xf numFmtId="3" fontId="0" fillId="10" borderId="10" xfId="0" applyNumberFormat="1" applyFill="1" applyBorder="1" applyAlignment="1" applyProtection="1">
      <alignment/>
      <protection locked="0"/>
    </xf>
    <xf numFmtId="0" fontId="0" fillId="10" borderId="10" xfId="0" applyFill="1" applyBorder="1" applyAlignment="1" applyProtection="1">
      <alignment/>
      <protection locked="0"/>
    </xf>
    <xf numFmtId="0" fontId="1" fillId="35" borderId="17" xfId="0" applyFont="1" applyFill="1" applyBorder="1" applyAlignment="1">
      <alignment/>
    </xf>
    <xf numFmtId="0" fontId="1" fillId="35" borderId="31" xfId="0" applyFont="1" applyFill="1" applyBorder="1" applyAlignment="1">
      <alignment/>
    </xf>
    <xf numFmtId="173" fontId="1" fillId="35" borderId="31" xfId="0" applyNumberFormat="1" applyFont="1" applyFill="1" applyBorder="1" applyAlignment="1">
      <alignment/>
    </xf>
    <xf numFmtId="4" fontId="1" fillId="35" borderId="31" xfId="0" applyNumberFormat="1" applyFont="1" applyFill="1" applyBorder="1" applyAlignment="1">
      <alignment/>
    </xf>
    <xf numFmtId="0" fontId="1" fillId="35" borderId="11" xfId="0" applyFont="1" applyFill="1" applyBorder="1" applyAlignment="1">
      <alignment/>
    </xf>
    <xf numFmtId="0" fontId="1" fillId="35" borderId="15" xfId="0" applyFont="1" applyFill="1" applyBorder="1" applyAlignment="1">
      <alignment/>
    </xf>
    <xf numFmtId="173" fontId="1" fillId="35" borderId="15" xfId="0" applyNumberFormat="1" applyFont="1" applyFill="1" applyBorder="1" applyAlignment="1">
      <alignment/>
    </xf>
    <xf numFmtId="4" fontId="1" fillId="35" borderId="15" xfId="0" applyNumberFormat="1" applyFont="1" applyFill="1" applyBorder="1" applyAlignment="1">
      <alignment/>
    </xf>
    <xf numFmtId="0" fontId="1" fillId="35" borderId="16" xfId="0" applyFont="1" applyFill="1" applyBorder="1" applyAlignment="1">
      <alignment/>
    </xf>
    <xf numFmtId="173" fontId="5" fillId="0" borderId="0" xfId="0" applyNumberFormat="1" applyFont="1" applyFill="1" applyBorder="1" applyAlignment="1">
      <alignment horizontal="center"/>
    </xf>
    <xf numFmtId="0" fontId="5" fillId="0" borderId="0" xfId="0" applyFont="1" applyFill="1" applyAlignment="1">
      <alignment horizontal="center"/>
    </xf>
    <xf numFmtId="173" fontId="0" fillId="34" borderId="18" xfId="0" applyNumberFormat="1" applyFont="1" applyFill="1" applyBorder="1" applyAlignment="1">
      <alignment/>
    </xf>
    <xf numFmtId="170" fontId="0" fillId="33" borderId="10" xfId="0" applyNumberFormat="1" applyFont="1" applyFill="1" applyBorder="1" applyAlignment="1" applyProtection="1">
      <alignment/>
      <protection locked="0"/>
    </xf>
    <xf numFmtId="3" fontId="0" fillId="0" borderId="0" xfId="0" applyNumberFormat="1" applyFont="1" applyFill="1" applyAlignment="1" applyProtection="1">
      <alignment horizontal="right"/>
      <protection/>
    </xf>
    <xf numFmtId="3" fontId="0" fillId="0" borderId="19" xfId="0" applyNumberFormat="1" applyFont="1" applyBorder="1" applyAlignment="1" applyProtection="1">
      <alignment/>
      <protection/>
    </xf>
    <xf numFmtId="4" fontId="5" fillId="0" borderId="0" xfId="0" applyNumberFormat="1" applyFont="1" applyAlignment="1" applyProtection="1">
      <alignment horizontal="right"/>
      <protection/>
    </xf>
    <xf numFmtId="3" fontId="0" fillId="35" borderId="19" xfId="0" applyNumberFormat="1" applyFont="1" applyFill="1" applyBorder="1" applyAlignment="1" applyProtection="1">
      <alignment/>
      <protection/>
    </xf>
    <xf numFmtId="3" fontId="1" fillId="0" borderId="0" xfId="0" applyNumberFormat="1" applyFont="1" applyFill="1" applyBorder="1" applyAlignment="1" applyProtection="1">
      <alignment horizontal="center"/>
      <protection/>
    </xf>
    <xf numFmtId="2" fontId="0" fillId="33" borderId="10" xfId="0" applyNumberFormat="1" applyFill="1" applyBorder="1" applyAlignment="1" applyProtection="1">
      <alignment/>
      <protection locked="0"/>
    </xf>
    <xf numFmtId="1" fontId="0" fillId="33" borderId="10" xfId="0" applyNumberFormat="1" applyFill="1" applyBorder="1" applyAlignment="1" applyProtection="1">
      <alignment/>
      <protection locked="0"/>
    </xf>
    <xf numFmtId="0" fontId="20" fillId="0" borderId="0" xfId="0" applyFont="1" applyAlignment="1">
      <alignment/>
    </xf>
    <xf numFmtId="0" fontId="0" fillId="37" borderId="10" xfId="0" applyFill="1" applyBorder="1" applyAlignment="1">
      <alignment/>
    </xf>
    <xf numFmtId="3" fontId="0" fillId="37" borderId="10" xfId="0" applyNumberFormat="1" applyFill="1" applyBorder="1" applyAlignment="1" applyProtection="1">
      <alignment/>
      <protection locked="0"/>
    </xf>
    <xf numFmtId="3" fontId="3" fillId="0" borderId="0" xfId="0" applyNumberFormat="1" applyFont="1" applyFill="1" applyBorder="1" applyAlignment="1" applyProtection="1">
      <alignment/>
      <protection/>
    </xf>
    <xf numFmtId="0" fontId="71" fillId="0" borderId="0" xfId="0" applyFont="1" applyAlignment="1">
      <alignment/>
    </xf>
    <xf numFmtId="4" fontId="5" fillId="0" borderId="0" xfId="0" applyNumberFormat="1" applyFont="1" applyAlignment="1">
      <alignment/>
    </xf>
    <xf numFmtId="4" fontId="20" fillId="0" borderId="0" xfId="0" applyNumberFormat="1" applyFont="1" applyAlignment="1">
      <alignment/>
    </xf>
    <xf numFmtId="0" fontId="0" fillId="0" borderId="15" xfId="0" applyBorder="1" applyAlignment="1">
      <alignment/>
    </xf>
    <xf numFmtId="4" fontId="5" fillId="0" borderId="15" xfId="0" applyNumberFormat="1" applyFont="1" applyBorder="1" applyAlignment="1">
      <alignment/>
    </xf>
    <xf numFmtId="4" fontId="1" fillId="37" borderId="10" xfId="0" applyNumberFormat="1" applyFont="1" applyFill="1" applyBorder="1" applyAlignment="1" applyProtection="1">
      <alignment/>
      <protection locked="0"/>
    </xf>
    <xf numFmtId="4" fontId="5" fillId="0" borderId="22" xfId="0" applyNumberFormat="1" applyFont="1" applyBorder="1" applyAlignment="1">
      <alignment/>
    </xf>
    <xf numFmtId="3" fontId="1" fillId="34" borderId="18" xfId="0" applyNumberFormat="1" applyFont="1" applyFill="1" applyBorder="1" applyAlignment="1">
      <alignment/>
    </xf>
    <xf numFmtId="4" fontId="20" fillId="34" borderId="19" xfId="0" applyNumberFormat="1" applyFont="1" applyFill="1" applyBorder="1" applyAlignment="1">
      <alignment/>
    </xf>
    <xf numFmtId="0" fontId="1" fillId="35" borderId="0" xfId="0" applyFont="1" applyFill="1" applyBorder="1" applyAlignment="1">
      <alignment/>
    </xf>
    <xf numFmtId="0" fontId="0" fillId="35" borderId="0" xfId="0" applyFill="1" applyBorder="1" applyAlignment="1">
      <alignment/>
    </xf>
    <xf numFmtId="3" fontId="0" fillId="35" borderId="0" xfId="0" applyNumberFormat="1" applyFill="1" applyBorder="1" applyAlignment="1">
      <alignment/>
    </xf>
    <xf numFmtId="0" fontId="0" fillId="35" borderId="31" xfId="0" applyFill="1" applyBorder="1" applyAlignment="1">
      <alignment/>
    </xf>
    <xf numFmtId="3" fontId="0" fillId="35" borderId="31" xfId="0" applyNumberFormat="1" applyFill="1" applyBorder="1" applyAlignment="1">
      <alignment/>
    </xf>
    <xf numFmtId="4" fontId="5" fillId="35" borderId="11" xfId="0" applyNumberFormat="1" applyFont="1" applyFill="1" applyBorder="1" applyAlignment="1">
      <alignment/>
    </xf>
    <xf numFmtId="3" fontId="0" fillId="35" borderId="15" xfId="0" applyNumberFormat="1" applyFill="1" applyBorder="1" applyAlignment="1">
      <alignment/>
    </xf>
    <xf numFmtId="4" fontId="5" fillId="35" borderId="16" xfId="0" applyNumberFormat="1" applyFont="1" applyFill="1" applyBorder="1" applyAlignment="1">
      <alignment/>
    </xf>
    <xf numFmtId="0" fontId="0" fillId="35" borderId="14" xfId="0" applyFill="1" applyBorder="1" applyAlignment="1">
      <alignment/>
    </xf>
    <xf numFmtId="0" fontId="0" fillId="35" borderId="15" xfId="0" applyFont="1" applyFill="1" applyBorder="1" applyAlignment="1">
      <alignment/>
    </xf>
    <xf numFmtId="0" fontId="0" fillId="35" borderId="15" xfId="0" applyFill="1" applyBorder="1" applyAlignment="1">
      <alignment/>
    </xf>
    <xf numFmtId="0" fontId="1" fillId="35" borderId="12" xfId="0" applyFont="1" applyFill="1" applyBorder="1" applyAlignment="1">
      <alignment/>
    </xf>
    <xf numFmtId="4" fontId="5" fillId="35" borderId="13" xfId="0" applyNumberFormat="1" applyFont="1" applyFill="1" applyBorder="1" applyAlignment="1">
      <alignment/>
    </xf>
    <xf numFmtId="0" fontId="0" fillId="35" borderId="0" xfId="0" applyFont="1" applyFill="1" applyBorder="1" applyAlignment="1">
      <alignment/>
    </xf>
    <xf numFmtId="3" fontId="1" fillId="37" borderId="10" xfId="0" applyNumberFormat="1" applyFont="1" applyFill="1" applyBorder="1" applyAlignment="1" applyProtection="1">
      <alignment/>
      <protection locked="0"/>
    </xf>
    <xf numFmtId="3" fontId="0" fillId="33" borderId="21" xfId="0" applyNumberFormat="1" applyFont="1" applyFill="1" applyBorder="1" applyAlignment="1" applyProtection="1">
      <alignment/>
      <protection locked="0"/>
    </xf>
    <xf numFmtId="4" fontId="0" fillId="10" borderId="21" xfId="0" applyNumberFormat="1" applyFont="1" applyFill="1" applyBorder="1" applyAlignment="1" applyProtection="1">
      <alignment/>
      <protection locked="0"/>
    </xf>
    <xf numFmtId="4" fontId="0" fillId="0" borderId="22" xfId="0" applyNumberFormat="1" applyFont="1" applyBorder="1" applyAlignment="1" applyProtection="1">
      <alignment/>
      <protection/>
    </xf>
    <xf numFmtId="3" fontId="0" fillId="0" borderId="22" xfId="0" applyNumberFormat="1" applyFont="1" applyBorder="1" applyAlignment="1" applyProtection="1">
      <alignment/>
      <protection/>
    </xf>
    <xf numFmtId="178" fontId="0" fillId="0" borderId="0" xfId="0" applyNumberFormat="1" applyAlignment="1" applyProtection="1">
      <alignment/>
      <protection/>
    </xf>
    <xf numFmtId="1" fontId="0" fillId="0" borderId="0" xfId="0" applyNumberFormat="1" applyAlignment="1" applyProtection="1">
      <alignment/>
      <protection/>
    </xf>
    <xf numFmtId="2" fontId="5" fillId="0" borderId="0" xfId="0" applyNumberFormat="1" applyFont="1" applyAlignment="1" applyProtection="1">
      <alignment horizontal="right"/>
      <protection/>
    </xf>
    <xf numFmtId="0" fontId="1" fillId="34" borderId="17" xfId="0" applyFont="1" applyFill="1" applyBorder="1" applyAlignment="1" applyProtection="1">
      <alignment/>
      <protection/>
    </xf>
    <xf numFmtId="0" fontId="0" fillId="34" borderId="31" xfId="0" applyFill="1" applyBorder="1" applyAlignment="1" applyProtection="1">
      <alignment/>
      <protection/>
    </xf>
    <xf numFmtId="0" fontId="1" fillId="34" borderId="31" xfId="0" applyFont="1" applyFill="1" applyBorder="1" applyAlignment="1" applyProtection="1">
      <alignment/>
      <protection/>
    </xf>
    <xf numFmtId="2" fontId="0" fillId="34" borderId="31" xfId="0" applyNumberFormat="1" applyFill="1" applyBorder="1" applyAlignment="1" applyProtection="1">
      <alignment/>
      <protection/>
    </xf>
    <xf numFmtId="0" fontId="0" fillId="34" borderId="11" xfId="0" applyFill="1" applyBorder="1" applyAlignment="1" applyProtection="1">
      <alignment/>
      <protection/>
    </xf>
    <xf numFmtId="0" fontId="1" fillId="34" borderId="14" xfId="0" applyFont="1" applyFill="1" applyBorder="1" applyAlignment="1" applyProtection="1">
      <alignment/>
      <protection/>
    </xf>
    <xf numFmtId="0" fontId="0" fillId="34" borderId="15" xfId="0" applyFill="1" applyBorder="1" applyAlignment="1" applyProtection="1">
      <alignment/>
      <protection/>
    </xf>
    <xf numFmtId="0" fontId="1" fillId="34" borderId="15" xfId="0" applyFont="1" applyFill="1" applyBorder="1" applyAlignment="1" applyProtection="1">
      <alignment/>
      <protection/>
    </xf>
    <xf numFmtId="2" fontId="0" fillId="34" borderId="15" xfId="0" applyNumberFormat="1" applyFill="1" applyBorder="1" applyAlignment="1" applyProtection="1">
      <alignment/>
      <protection/>
    </xf>
    <xf numFmtId="3" fontId="1" fillId="34" borderId="16" xfId="0" applyNumberFormat="1" applyFont="1" applyFill="1" applyBorder="1" applyAlignment="1" applyProtection="1">
      <alignment/>
      <protection/>
    </xf>
    <xf numFmtId="2" fontId="0" fillId="34" borderId="18" xfId="0" applyNumberFormat="1" applyFill="1" applyBorder="1" applyAlignment="1" applyProtection="1">
      <alignment/>
      <protection/>
    </xf>
    <xf numFmtId="0" fontId="5" fillId="35" borderId="0" xfId="0" applyFont="1" applyFill="1" applyBorder="1" applyAlignment="1">
      <alignment horizontal="right"/>
    </xf>
    <xf numFmtId="0" fontId="5" fillId="35" borderId="13" xfId="0" applyFont="1" applyFill="1" applyBorder="1" applyAlignment="1">
      <alignment horizontal="right"/>
    </xf>
    <xf numFmtId="3" fontId="0" fillId="0" borderId="22" xfId="0" applyNumberFormat="1" applyFill="1" applyBorder="1" applyAlignment="1" applyProtection="1">
      <alignment/>
      <protection/>
    </xf>
    <xf numFmtId="0" fontId="0" fillId="0" borderId="22" xfId="0" applyBorder="1" applyAlignment="1" applyProtection="1">
      <alignment horizontal="center"/>
      <protection/>
    </xf>
    <xf numFmtId="0" fontId="5" fillId="0" borderId="22" xfId="0" applyFont="1" applyBorder="1" applyAlignment="1" applyProtection="1">
      <alignment horizontal="right"/>
      <protection/>
    </xf>
    <xf numFmtId="3" fontId="5" fillId="0" borderId="0" xfId="0" applyNumberFormat="1" applyFont="1" applyAlignment="1" applyProtection="1">
      <alignment horizontal="right"/>
      <protection/>
    </xf>
    <xf numFmtId="0" fontId="1" fillId="0" borderId="0" xfId="0" applyNumberFormat="1" applyFont="1" applyFill="1" applyBorder="1" applyAlignment="1" applyProtection="1">
      <alignment horizontal="center"/>
      <protection/>
    </xf>
    <xf numFmtId="3" fontId="0" fillId="33" borderId="10" xfId="0" applyNumberFormat="1" applyFont="1" applyFill="1" applyBorder="1" applyAlignment="1" applyProtection="1">
      <alignment horizontal="right"/>
      <protection locked="0"/>
    </xf>
    <xf numFmtId="0" fontId="0" fillId="0" borderId="0" xfId="0" applyFont="1" applyFill="1" applyBorder="1" applyAlignment="1" applyProtection="1" quotePrefix="1">
      <alignment/>
      <protection/>
    </xf>
    <xf numFmtId="0" fontId="2" fillId="0" borderId="0" xfId="0" applyFont="1" applyAlignment="1" applyProtection="1">
      <alignment/>
      <protection/>
    </xf>
    <xf numFmtId="3" fontId="5" fillId="0" borderId="0" xfId="0" applyNumberFormat="1" applyFont="1" applyAlignment="1" applyProtection="1">
      <alignment horizontal="right" wrapText="1"/>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quotePrefix="1">
      <alignment horizontal="center"/>
      <protection/>
    </xf>
    <xf numFmtId="0" fontId="0" fillId="0" borderId="0" xfId="0" applyFont="1" applyAlignment="1" quotePrefix="1">
      <alignment/>
    </xf>
    <xf numFmtId="0" fontId="0" fillId="0" borderId="0" xfId="0" applyAlignment="1" applyProtection="1">
      <alignment horizontal="center"/>
      <protection/>
    </xf>
    <xf numFmtId="0" fontId="72" fillId="0" borderId="0" xfId="0" applyFont="1" applyAlignment="1" applyProtection="1">
      <alignment/>
      <protection/>
    </xf>
    <xf numFmtId="0" fontId="73" fillId="0" borderId="0" xfId="0" applyFont="1" applyAlignment="1">
      <alignment/>
    </xf>
    <xf numFmtId="0" fontId="74" fillId="0" borderId="0" xfId="0" applyFont="1" applyAlignment="1">
      <alignment/>
    </xf>
    <xf numFmtId="3" fontId="16" fillId="0" borderId="0" xfId="47" applyNumberFormat="1" applyFont="1" applyAlignment="1">
      <alignment horizontal="right"/>
      <protection/>
    </xf>
    <xf numFmtId="3" fontId="0" fillId="0" borderId="0" xfId="47" applyNumberFormat="1" applyAlignment="1">
      <alignment horizontal="right"/>
      <protection/>
    </xf>
    <xf numFmtId="3" fontId="0" fillId="0" borderId="0" xfId="47" applyNumberFormat="1" applyFont="1" applyFill="1" applyBorder="1" applyAlignment="1">
      <alignment horizontal="right"/>
      <protection/>
    </xf>
    <xf numFmtId="0" fontId="75" fillId="0" borderId="0" xfId="0" applyFont="1" applyAlignment="1">
      <alignment/>
    </xf>
    <xf numFmtId="0" fontId="1" fillId="34" borderId="20" xfId="0" applyFont="1" applyFill="1" applyBorder="1" applyAlignment="1">
      <alignment/>
    </xf>
    <xf numFmtId="166" fontId="0" fillId="0" borderId="0" xfId="0" applyNumberFormat="1" applyFont="1" applyAlignment="1" applyProtection="1">
      <alignment/>
      <protection/>
    </xf>
    <xf numFmtId="0" fontId="1" fillId="35" borderId="20" xfId="0" applyFont="1" applyFill="1" applyBorder="1" applyAlignment="1">
      <alignment/>
    </xf>
    <xf numFmtId="4" fontId="0" fillId="10" borderId="10" xfId="0" applyNumberFormat="1" applyFont="1" applyFill="1" applyBorder="1" applyAlignment="1" applyProtection="1">
      <alignment/>
      <protection locked="0"/>
    </xf>
    <xf numFmtId="0" fontId="0" fillId="0" borderId="18" xfId="0" applyFont="1" applyBorder="1" applyAlignment="1">
      <alignment/>
    </xf>
    <xf numFmtId="0" fontId="0" fillId="0" borderId="18" xfId="0" applyFont="1" applyBorder="1" applyAlignment="1" applyProtection="1">
      <alignment/>
      <protection/>
    </xf>
    <xf numFmtId="3" fontId="0" fillId="0" borderId="18" xfId="0" applyNumberFormat="1" applyFont="1" applyBorder="1" applyAlignment="1" applyProtection="1">
      <alignment/>
      <protection/>
    </xf>
    <xf numFmtId="4" fontId="0" fillId="0" borderId="18" xfId="0" applyNumberFormat="1" applyFont="1" applyBorder="1" applyAlignment="1" applyProtection="1">
      <alignment/>
      <protection/>
    </xf>
    <xf numFmtId="0" fontId="1" fillId="0" borderId="0" xfId="47" applyFont="1">
      <alignment/>
      <protection/>
    </xf>
    <xf numFmtId="0" fontId="11" fillId="0" borderId="0" xfId="47" applyFont="1" quotePrefix="1">
      <alignment/>
      <protection/>
    </xf>
    <xf numFmtId="0" fontId="0" fillId="0" borderId="0" xfId="47">
      <alignment/>
      <protection/>
    </xf>
    <xf numFmtId="0" fontId="1" fillId="0" borderId="0" xfId="47" applyFont="1" applyProtection="1">
      <alignment/>
      <protection/>
    </xf>
    <xf numFmtId="0" fontId="0" fillId="0" borderId="0" xfId="47" applyFont="1" applyProtection="1">
      <alignment/>
      <protection/>
    </xf>
    <xf numFmtId="0" fontId="0" fillId="0" borderId="0" xfId="47" applyFont="1" applyAlignment="1" applyProtection="1">
      <alignment horizontal="center"/>
      <protection/>
    </xf>
    <xf numFmtId="0" fontId="0" fillId="0" borderId="0" xfId="47" applyFont="1" applyBorder="1" applyProtection="1">
      <alignment/>
      <protection/>
    </xf>
    <xf numFmtId="3" fontId="1" fillId="0" borderId="0" xfId="47" applyNumberFormat="1" applyFont="1" applyProtection="1">
      <alignment/>
      <protection/>
    </xf>
    <xf numFmtId="3" fontId="0" fillId="0" borderId="0" xfId="47" applyNumberFormat="1" applyFont="1" applyProtection="1">
      <alignment/>
      <protection/>
    </xf>
    <xf numFmtId="0" fontId="5" fillId="0" borderId="0" xfId="47" applyFont="1" applyAlignment="1" applyProtection="1">
      <alignment horizontal="right"/>
      <protection/>
    </xf>
    <xf numFmtId="4" fontId="0" fillId="0" borderId="0" xfId="47" applyNumberFormat="1" applyFont="1" applyProtection="1">
      <alignment/>
      <protection/>
    </xf>
    <xf numFmtId="0" fontId="0" fillId="0" borderId="0" xfId="47" applyFont="1" applyFill="1" applyProtection="1">
      <alignment/>
      <protection/>
    </xf>
    <xf numFmtId="3" fontId="5" fillId="0" borderId="0" xfId="47" applyNumberFormat="1" applyFont="1" applyFill="1" applyAlignment="1" applyProtection="1">
      <alignment horizontal="right"/>
      <protection/>
    </xf>
    <xf numFmtId="0" fontId="5" fillId="0" borderId="0" xfId="47" applyFont="1" applyFill="1" applyAlignment="1" applyProtection="1">
      <alignment horizontal="right"/>
      <protection/>
    </xf>
    <xf numFmtId="3" fontId="0" fillId="0" borderId="0" xfId="47" applyNumberFormat="1" applyFont="1" applyAlignment="1" applyProtection="1">
      <alignment horizontal="left"/>
      <protection/>
    </xf>
    <xf numFmtId="0" fontId="1" fillId="0" borderId="20" xfId="47" applyFont="1" applyBorder="1">
      <alignment/>
      <protection/>
    </xf>
    <xf numFmtId="0" fontId="1" fillId="35" borderId="20" xfId="47" applyFont="1" applyFill="1" applyBorder="1">
      <alignment/>
      <protection/>
    </xf>
    <xf numFmtId="4" fontId="0" fillId="0" borderId="0" xfId="47" applyNumberFormat="1" applyFont="1" applyFill="1" applyProtection="1">
      <alignment/>
      <protection/>
    </xf>
    <xf numFmtId="0" fontId="1" fillId="34" borderId="20" xfId="47" applyFont="1" applyFill="1" applyBorder="1" applyProtection="1">
      <alignment/>
      <protection/>
    </xf>
    <xf numFmtId="3" fontId="0" fillId="33" borderId="10" xfId="47" applyNumberFormat="1" applyFont="1" applyFill="1" applyBorder="1" applyProtection="1">
      <alignment/>
      <protection locked="0"/>
    </xf>
    <xf numFmtId="0" fontId="11" fillId="0" borderId="0" xfId="47" applyFont="1">
      <alignment/>
      <protection/>
    </xf>
    <xf numFmtId="0" fontId="0" fillId="10" borderId="10" xfId="47" applyFill="1" applyBorder="1">
      <alignment/>
      <protection/>
    </xf>
    <xf numFmtId="0" fontId="0" fillId="0" borderId="0" xfId="47" applyProtection="1">
      <alignment/>
      <protection/>
    </xf>
    <xf numFmtId="0" fontId="0" fillId="0" borderId="0" xfId="47" applyFill="1" applyBorder="1" applyProtection="1">
      <alignment/>
      <protection/>
    </xf>
    <xf numFmtId="0" fontId="0" fillId="0" borderId="0" xfId="47" applyFont="1" applyAlignment="1" applyProtection="1">
      <alignment horizontal="left"/>
      <protection/>
    </xf>
    <xf numFmtId="0" fontId="0" fillId="0" borderId="0" xfId="47" applyFont="1">
      <alignment/>
      <protection/>
    </xf>
    <xf numFmtId="0" fontId="0" fillId="0" borderId="22" xfId="47" applyFont="1" applyBorder="1" applyProtection="1">
      <alignment/>
      <protection/>
    </xf>
    <xf numFmtId="0" fontId="1" fillId="0" borderId="0" xfId="47" applyFont="1" applyFill="1" applyBorder="1" applyProtection="1">
      <alignment/>
      <protection/>
    </xf>
    <xf numFmtId="0" fontId="0" fillId="0" borderId="0" xfId="47" applyFont="1" applyFill="1" applyBorder="1" applyProtection="1">
      <alignment/>
      <protection/>
    </xf>
    <xf numFmtId="0" fontId="0" fillId="0" borderId="0" xfId="47" applyFill="1" applyBorder="1" applyProtection="1" quotePrefix="1">
      <alignment/>
      <protection/>
    </xf>
    <xf numFmtId="0" fontId="0" fillId="0" borderId="22" xfId="47" applyBorder="1">
      <alignment/>
      <protection/>
    </xf>
    <xf numFmtId="0" fontId="1" fillId="35" borderId="20" xfId="47" applyFont="1" applyFill="1" applyBorder="1">
      <alignment/>
      <protection/>
    </xf>
    <xf numFmtId="0" fontId="1" fillId="34" borderId="20" xfId="47" applyFont="1" applyFill="1" applyBorder="1" applyProtection="1">
      <alignment/>
      <protection/>
    </xf>
    <xf numFmtId="0" fontId="0" fillId="10" borderId="10" xfId="47" applyFill="1" applyBorder="1">
      <alignment/>
      <protection/>
    </xf>
    <xf numFmtId="0" fontId="0" fillId="0" borderId="0" xfId="47" applyBorder="1" applyProtection="1">
      <alignment/>
      <protection/>
    </xf>
    <xf numFmtId="0" fontId="5" fillId="0" borderId="0" xfId="47" applyFont="1" applyFill="1" applyProtection="1">
      <alignment/>
      <protection/>
    </xf>
    <xf numFmtId="3" fontId="0" fillId="0" borderId="0" xfId="47" applyNumberFormat="1">
      <alignment/>
      <protection/>
    </xf>
    <xf numFmtId="0" fontId="0" fillId="10" borderId="10" xfId="47" applyFill="1" applyBorder="1">
      <alignment/>
      <protection/>
    </xf>
    <xf numFmtId="0" fontId="1" fillId="35" borderId="0" xfId="47" applyFont="1" applyFill="1">
      <alignment/>
      <protection/>
    </xf>
    <xf numFmtId="0" fontId="1" fillId="35" borderId="20" xfId="47" applyFont="1" applyFill="1" applyBorder="1">
      <alignment/>
      <protection/>
    </xf>
    <xf numFmtId="0" fontId="1" fillId="34" borderId="20" xfId="47" applyFont="1" applyFill="1" applyBorder="1">
      <alignment/>
      <protection/>
    </xf>
    <xf numFmtId="3" fontId="7" fillId="35" borderId="11" xfId="47" applyNumberFormat="1" applyFont="1" applyFill="1" applyBorder="1">
      <alignment/>
      <protection/>
    </xf>
    <xf numFmtId="3" fontId="7" fillId="35" borderId="13" xfId="47" applyNumberFormat="1" applyFont="1" applyFill="1" applyBorder="1">
      <alignment/>
      <protection/>
    </xf>
    <xf numFmtId="0" fontId="1" fillId="0" borderId="10" xfId="0" applyFont="1" applyBorder="1" applyAlignment="1" applyProtection="1">
      <alignment/>
      <protection/>
    </xf>
    <xf numFmtId="4" fontId="7" fillId="10" borderId="10" xfId="0" applyNumberFormat="1" applyFont="1" applyFill="1" applyBorder="1" applyAlignment="1" applyProtection="1">
      <alignment/>
      <protection locked="0"/>
    </xf>
    <xf numFmtId="0" fontId="1" fillId="38" borderId="10" xfId="0" applyFont="1" applyFill="1" applyBorder="1" applyAlignment="1" applyProtection="1">
      <alignment/>
      <protection/>
    </xf>
    <xf numFmtId="0" fontId="0" fillId="0" borderId="0" xfId="0" applyFont="1" applyFill="1" applyAlignment="1">
      <alignment/>
    </xf>
    <xf numFmtId="0" fontId="17" fillId="0" borderId="0" xfId="0" applyFont="1" applyAlignment="1">
      <alignment/>
    </xf>
    <xf numFmtId="0" fontId="0" fillId="34" borderId="20" xfId="0" applyFill="1" applyBorder="1" applyAlignment="1" applyProtection="1">
      <alignment/>
      <protection/>
    </xf>
    <xf numFmtId="0" fontId="4" fillId="34" borderId="20" xfId="0" applyFont="1" applyFill="1" applyBorder="1" applyAlignment="1">
      <alignment horizontal="center"/>
    </xf>
    <xf numFmtId="0" fontId="4" fillId="34" borderId="18" xfId="0" applyFont="1" applyFill="1" applyBorder="1" applyAlignment="1">
      <alignment horizontal="center"/>
    </xf>
    <xf numFmtId="0" fontId="4" fillId="34" borderId="19" xfId="0" applyFont="1" applyFill="1" applyBorder="1" applyAlignment="1">
      <alignment horizontal="center"/>
    </xf>
    <xf numFmtId="0" fontId="3" fillId="37" borderId="20" xfId="0" applyFont="1" applyFill="1" applyBorder="1" applyAlignment="1" applyProtection="1">
      <alignment horizontal="center"/>
      <protection locked="0"/>
    </xf>
    <xf numFmtId="0" fontId="3" fillId="37" borderId="19" xfId="0" applyFont="1" applyFill="1" applyBorder="1" applyAlignment="1" applyProtection="1">
      <alignment horizontal="center"/>
      <protection locked="0"/>
    </xf>
    <xf numFmtId="0" fontId="4" fillId="34" borderId="20" xfId="47" applyFont="1" applyFill="1" applyBorder="1" applyAlignment="1">
      <alignment horizontal="center"/>
      <protection/>
    </xf>
    <xf numFmtId="0" fontId="4" fillId="34" borderId="18" xfId="47" applyFont="1" applyFill="1" applyBorder="1" applyAlignment="1">
      <alignment horizontal="center"/>
      <protection/>
    </xf>
    <xf numFmtId="0" fontId="4" fillId="34" borderId="19" xfId="47" applyFont="1" applyFill="1" applyBorder="1" applyAlignment="1">
      <alignment horizontal="center"/>
      <protection/>
    </xf>
    <xf numFmtId="0" fontId="24" fillId="34" borderId="17" xfId="47" applyFont="1" applyFill="1" applyBorder="1" applyAlignment="1">
      <alignment horizontal="center"/>
      <protection/>
    </xf>
    <xf numFmtId="0" fontId="24" fillId="34" borderId="31" xfId="47" applyFont="1" applyFill="1" applyBorder="1" applyAlignment="1">
      <alignment horizontal="center"/>
      <protection/>
    </xf>
    <xf numFmtId="0" fontId="24" fillId="34" borderId="11" xfId="47" applyFont="1" applyFill="1" applyBorder="1" applyAlignment="1">
      <alignment horizontal="center"/>
      <protection/>
    </xf>
    <xf numFmtId="0" fontId="24" fillId="34" borderId="14" xfId="47" applyFont="1" applyFill="1" applyBorder="1" applyAlignment="1">
      <alignment horizontal="center"/>
      <protection/>
    </xf>
    <xf numFmtId="0" fontId="24" fillId="34" borderId="15" xfId="47" applyFont="1" applyFill="1" applyBorder="1" applyAlignment="1">
      <alignment horizontal="center"/>
      <protection/>
    </xf>
    <xf numFmtId="0" fontId="24" fillId="34" borderId="16" xfId="47" applyFont="1" applyFill="1" applyBorder="1" applyAlignment="1">
      <alignment horizontal="center"/>
      <protection/>
    </xf>
    <xf numFmtId="0" fontId="3" fillId="34" borderId="20" xfId="47" applyFont="1" applyFill="1" applyBorder="1" applyAlignment="1">
      <alignment horizontal="center"/>
      <protection/>
    </xf>
    <xf numFmtId="0" fontId="3" fillId="34" borderId="18" xfId="47" applyFont="1" applyFill="1" applyBorder="1" applyAlignment="1">
      <alignment horizontal="center"/>
      <protection/>
    </xf>
    <xf numFmtId="0" fontId="3" fillId="34" borderId="19" xfId="47" applyFont="1" applyFill="1" applyBorder="1" applyAlignment="1">
      <alignment horizontal="center"/>
      <protection/>
    </xf>
    <xf numFmtId="0" fontId="3" fillId="34" borderId="20" xfId="0" applyFont="1" applyFill="1" applyBorder="1" applyAlignment="1">
      <alignment horizontal="center"/>
    </xf>
    <xf numFmtId="0" fontId="3" fillId="34" borderId="18" xfId="0" applyFont="1" applyFill="1" applyBorder="1" applyAlignment="1">
      <alignment horizontal="center"/>
    </xf>
    <xf numFmtId="0" fontId="3" fillId="34" borderId="19" xfId="0" applyFont="1" applyFill="1" applyBorder="1" applyAlignment="1">
      <alignment horizontal="center"/>
    </xf>
    <xf numFmtId="0" fontId="0" fillId="33" borderId="20" xfId="0" applyFont="1" applyFill="1" applyBorder="1" applyAlignment="1" applyProtection="1">
      <alignment horizontal="center"/>
      <protection locked="0"/>
    </xf>
    <xf numFmtId="0" fontId="0" fillId="33" borderId="19" xfId="0" applyFill="1" applyBorder="1" applyAlignment="1" applyProtection="1">
      <alignment horizontal="center"/>
      <protection locked="0"/>
    </xf>
  </cellXfs>
  <cellStyles count="51">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Normaali 2" xfId="47"/>
    <cellStyle name="Normaali 3" xfId="48"/>
    <cellStyle name="Otsikko" xfId="49"/>
    <cellStyle name="Otsikko 1" xfId="50"/>
    <cellStyle name="Otsikko 2" xfId="51"/>
    <cellStyle name="Otsikko 3" xfId="52"/>
    <cellStyle name="Otsikko 4" xfId="53"/>
    <cellStyle name="Comma" xfId="54"/>
    <cellStyle name="Comma [0]" xfId="55"/>
    <cellStyle name="Percent" xfId="56"/>
    <cellStyle name="Selittävä teksti" xfId="57"/>
    <cellStyle name="Summa" xfId="58"/>
    <cellStyle name="Syöttö" xfId="59"/>
    <cellStyle name="Tarkistussolu" xfId="60"/>
    <cellStyle name="Tulostus" xfId="61"/>
    <cellStyle name="Currency" xfId="62"/>
    <cellStyle name="Currency [0]" xfId="63"/>
    <cellStyle name="Varoitusteksti"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9525</xdr:rowOff>
    </xdr:from>
    <xdr:to>
      <xdr:col>11</xdr:col>
      <xdr:colOff>114300</xdr:colOff>
      <xdr:row>118</xdr:row>
      <xdr:rowOff>152400</xdr:rowOff>
    </xdr:to>
    <xdr:sp>
      <xdr:nvSpPr>
        <xdr:cNvPr id="1" name="Tekstiruutu 1"/>
        <xdr:cNvSpPr txBox="1">
          <a:spLocks noChangeArrowheads="1"/>
        </xdr:cNvSpPr>
      </xdr:nvSpPr>
      <xdr:spPr>
        <a:xfrm>
          <a:off x="28575" y="9525"/>
          <a:ext cx="7181850" cy="19250025"/>
        </a:xfrm>
        <a:prstGeom prst="rect">
          <a:avLst/>
        </a:prstGeom>
        <a:solidFill>
          <a:srgbClr val="FFFFFF"/>
        </a:solidFill>
        <a:ln w="9525" cmpd="sng">
          <a:noFill/>
        </a:ln>
      </xdr:spPr>
      <xdr:txBody>
        <a:bodyPr vertOverflow="clip" wrap="square"/>
        <a:p>
          <a:pPr algn="l">
            <a:defRPr/>
          </a:pPr>
          <a:r>
            <a:rPr lang="en-US" cap="none" sz="1400" b="1" i="0" u="none" baseline="0">
              <a:solidFill>
                <a:srgbClr val="0066CC"/>
              </a:solidFill>
              <a:latin typeface="Calibri"/>
              <a:ea typeface="Calibri"/>
              <a:cs typeface="Calibri"/>
            </a:rPr>
            <a:t>Kommunförbundets kalkyleringsmodellens för statsandelar -  ifyllnadsanvisningar                                            </a:t>
          </a:r>
          <a:r>
            <a:rPr lang="en-US" cap="none" sz="1100" b="1" i="1" u="none" baseline="0">
              <a:solidFill>
                <a:srgbClr val="0066CC"/>
              </a:solidFill>
              <a:latin typeface="Calibri"/>
              <a:ea typeface="Calibri"/>
              <a:cs typeface="Calibri"/>
            </a:rPr>
            <a:t>uppdaterad 17.9.2012
</a:t>
          </a:r>
          <a:r>
            <a:rPr lang="en-US" cap="none" sz="14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Med denna kalkyleringsmodell kan den enskilda kommunen räkna ut storleken på statsandelsfinansieringen.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Kalkyleringsmodellen har flera användningsändamål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Kalkyleringsmodellen för kommunens statsandelsfinansiering är ett utmärkt stöd vid  ekonomiplanens beredningsarbete eftersom den uppdateras enligt de förhandsuppgifter som utkommer redan på sommaren före räkenskapsåret. Vid ifyllandet av kalkyleringsmodellen kan man samtidigt uppdatera sina kunskaper i statsandelssystemet. Användaren får en helhetsbild </a:t>
          </a:r>
          <a:r>
            <a:rPr lang="en-US" cap="none" sz="1100" b="0" i="0" u="none" baseline="0">
              <a:solidFill>
                <a:srgbClr val="000000"/>
              </a:solidFill>
              <a:latin typeface="Calibri"/>
              <a:ea typeface="Calibri"/>
              <a:cs typeface="Calibri"/>
            </a:rPr>
            <a:t>av hela statsandelsfinansieringen då man </a:t>
          </a:r>
          <a:r>
            <a:rPr lang="en-US" cap="none" sz="1100" b="0" i="0" u="none" baseline="0">
              <a:solidFill>
                <a:srgbClr val="000000"/>
              </a:solidFill>
              <a:latin typeface="Calibri"/>
              <a:ea typeface="Calibri"/>
              <a:cs typeface="Calibri"/>
            </a:rPr>
            <a:t>metodiskt går igenom samtliga delar.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Kalkyleringsmodellen är ett praktiskt hjälpmedel vid jämförandet av olika räkenskapsår. Kalkyleringsmodellen kan också användas vid utformandet  av olika skenarier och exempelvis vid granskandet av hur olika yttre förändringar inverkar på den enskilda kommunens statsandelar. Intressanta frågeställningar är  t.ex befolkningsunderlagets (åldersstrukturens) inverkan på statsandelarna samt hur förändringarna i arbetskraften, sjukfrekvensen och t.ex.antalet  omhändertagana barn inverkar på statsandelen.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Kalkylmodellens färgkoder hjälper till att få en helhetsbild av hela statsandelssystemet
</a:t>
          </a:r>
          <a:r>
            <a:rPr lang="en-US" cap="none" sz="1100" b="1" i="0" u="none" baseline="0">
              <a:solidFill>
                <a:srgbClr val="FF6600"/>
              </a:solidFill>
              <a:latin typeface="Calibri"/>
              <a:ea typeface="Calibri"/>
              <a:cs typeface="Calibri"/>
            </a:rPr>
            <a:t>
</a:t>
          </a:r>
          <a:r>
            <a:rPr lang="en-US" cap="none" sz="1100" b="1" i="0" u="none" baseline="0">
              <a:solidFill>
                <a:srgbClr val="FF6600"/>
              </a:solidFill>
              <a:latin typeface="Calibri"/>
              <a:ea typeface="Calibri"/>
              <a:cs typeface="Calibri"/>
            </a:rPr>
            <a:t>Kommunens statsandelsfinansiering </a:t>
          </a:r>
          <a:r>
            <a:rPr lang="en-US" cap="none" sz="1100" b="0" i="0" u="none" baseline="0">
              <a:solidFill>
                <a:srgbClr val="000000"/>
              </a:solidFill>
              <a:latin typeface="Calibri"/>
              <a:ea typeface="Calibri"/>
              <a:cs typeface="Calibri"/>
            </a:rPr>
            <a:t>består av två delar: </a:t>
          </a:r>
          <a:r>
            <a:rPr lang="en-US" cap="none" sz="1100" b="1" i="0" u="none" baseline="0">
              <a:solidFill>
                <a:srgbClr val="339966"/>
              </a:solidFill>
              <a:latin typeface="Calibri"/>
              <a:ea typeface="Calibri"/>
              <a:cs typeface="Calibri"/>
            </a:rPr>
            <a:t>Kommunvisa statstandelar för kommunal basservice</a:t>
          </a:r>
          <a:r>
            <a:rPr lang="en-US" cap="none" sz="1100" b="0" i="0" u="none" baseline="0">
              <a:solidFill>
                <a:srgbClr val="000000"/>
              </a:solidFill>
              <a:latin typeface="Calibri"/>
              <a:ea typeface="Calibri"/>
              <a:cs typeface="Calibri"/>
            </a:rPr>
            <a:t> och </a:t>
          </a:r>
          <a:r>
            <a:rPr lang="en-US" cap="none" sz="1100" b="1" i="0" u="none" baseline="0">
              <a:solidFill>
                <a:srgbClr val="0066CC"/>
              </a:solidFill>
              <a:latin typeface="Calibri"/>
              <a:ea typeface="Calibri"/>
              <a:cs typeface="Calibri"/>
            </a:rPr>
            <a:t>Utbildning och kulturverksamhetens statsandelar </a:t>
          </a:r>
          <a:r>
            <a:rPr lang="en-US" cap="none" sz="1100" b="0" i="0" u="none" baseline="0">
              <a:solidFill>
                <a:srgbClr val="000000"/>
              </a:solidFill>
              <a:latin typeface="Calibri"/>
              <a:ea typeface="Calibri"/>
              <a:cs typeface="Calibri"/>
            </a:rPr>
            <a:t>enligt Lag om finansiering av utbildning- och kulturverksamhet (1705/2009). Statsandelsfinansieringens båda delar innehåller sin egna kalkylmässiga grund och kommunens självfinansieringsdel. Utbetalningen av statsandelarna sker centraliserat före den 11:e dagen varje månad. Vid uppskattandet av kommunens totala statsandelsfinansiering skall båda av de ovannämnda delarna av statsandelsfinansieringen beaktas. </a:t>
          </a:r>
          <a:r>
            <a:rPr lang="en-US" cap="none" sz="1100" b="1"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De kalkylerade kostnaderna  (som står som grund för statsandelen) samt de övriga delfaktorerna i statsandelsfinansieringen finns i egna tabeller i kalkyleringsmodellen. Kommunens statsandelar som innefattar basservicens statsandelar har markerats med </a:t>
          </a:r>
          <a:r>
            <a:rPr lang="en-US" cap="none" sz="1100" b="1" i="0" u="none" baseline="0">
              <a:solidFill>
                <a:srgbClr val="339966"/>
              </a:solidFill>
              <a:latin typeface="Calibri"/>
              <a:ea typeface="Calibri"/>
              <a:cs typeface="Calibri"/>
            </a:rPr>
            <a:t>grön </a:t>
          </a:r>
          <a:r>
            <a:rPr lang="en-US" cap="none" sz="1100" b="0" i="0" u="none" baseline="0">
              <a:solidFill>
                <a:srgbClr val="000000"/>
              </a:solidFill>
              <a:latin typeface="Calibri"/>
              <a:ea typeface="Calibri"/>
              <a:cs typeface="Calibri"/>
            </a:rPr>
            <a:t>bakgrundsfärg nere vid tabellväljarna .  Tabellerna som har anknytning till utbildningen och kulturverksamheten har markerats med </a:t>
          </a:r>
          <a:r>
            <a:rPr lang="en-US" cap="none" sz="1100" b="1" i="0" u="none" baseline="0">
              <a:solidFill>
                <a:srgbClr val="0066CC"/>
              </a:solidFill>
              <a:latin typeface="Calibri"/>
              <a:ea typeface="Calibri"/>
              <a:cs typeface="Calibri"/>
            </a:rPr>
            <a:t>blå</a:t>
          </a:r>
          <a:r>
            <a:rPr lang="en-US" cap="none" sz="1100" b="0" i="0" u="none" baseline="0">
              <a:solidFill>
                <a:srgbClr val="33CCCC"/>
              </a:solidFill>
              <a:latin typeface="Calibri"/>
              <a:ea typeface="Calibri"/>
              <a:cs typeface="Calibri"/>
            </a:rPr>
            <a:t> </a:t>
          </a:r>
          <a:r>
            <a:rPr lang="en-US" cap="none" sz="1100" b="0" i="0" u="none" baseline="0">
              <a:solidFill>
                <a:srgbClr val="000000"/>
              </a:solidFill>
              <a:latin typeface="Calibri"/>
              <a:ea typeface="Calibri"/>
              <a:cs typeface="Calibri"/>
            </a:rPr>
            <a:t>färg v</a:t>
          </a:r>
          <a:r>
            <a:rPr lang="en-US" cap="none" sz="1100" b="0" i="0" u="none" baseline="0">
              <a:solidFill>
                <a:srgbClr val="000000"/>
              </a:solidFill>
              <a:latin typeface="Calibri"/>
              <a:ea typeface="Calibri"/>
              <a:cs typeface="Calibri"/>
            </a:rPr>
            <a:t>id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tab</a:t>
          </a:r>
          <a:r>
            <a:rPr lang="en-US" cap="none" sz="1100" b="0" i="0" u="none" baseline="0">
              <a:solidFill>
                <a:srgbClr val="000000"/>
              </a:solidFill>
              <a:latin typeface="Calibri"/>
              <a:ea typeface="Calibri"/>
              <a:cs typeface="Calibri"/>
            </a:rPr>
            <a:t>ellväljarna . Från de </a:t>
          </a:r>
          <a:r>
            <a:rPr lang="en-US" cap="none" sz="1100" b="1" i="0" u="none" baseline="0">
              <a:solidFill>
                <a:srgbClr val="0066CC"/>
              </a:solidFill>
              <a:latin typeface="Calibri"/>
              <a:ea typeface="Calibri"/>
              <a:cs typeface="Calibri"/>
            </a:rPr>
            <a:t>blåa </a:t>
          </a:r>
          <a:r>
            <a:rPr lang="en-US" cap="none" sz="1100" b="0" i="0" u="none" baseline="0">
              <a:solidFill>
                <a:srgbClr val="000000"/>
              </a:solidFill>
              <a:latin typeface="Calibri"/>
              <a:ea typeface="Calibri"/>
              <a:cs typeface="Calibri"/>
            </a:rPr>
            <a:t>och de </a:t>
          </a:r>
          <a:r>
            <a:rPr lang="en-US" cap="none" sz="1100" b="1" i="0" u="none" baseline="0">
              <a:solidFill>
                <a:srgbClr val="339966"/>
              </a:solidFill>
              <a:latin typeface="Calibri"/>
              <a:ea typeface="Calibri"/>
              <a:cs typeface="Calibri"/>
            </a:rPr>
            <a:t>gröna </a:t>
          </a:r>
          <a:r>
            <a:rPr lang="en-US" cap="none" sz="1100" b="0" i="0" u="none" baseline="0">
              <a:solidFill>
                <a:srgbClr val="000000"/>
              </a:solidFill>
              <a:latin typeface="Calibri"/>
              <a:ea typeface="Calibri"/>
              <a:cs typeface="Calibri"/>
            </a:rPr>
            <a:t>tabellerna överförs informationen automatiskt till tabellväljaren "Sammandrag"som har markerats med </a:t>
          </a:r>
          <a:r>
            <a:rPr lang="en-US" cap="none" sz="1100" b="1" i="0" u="none" baseline="0">
              <a:solidFill>
                <a:srgbClr val="FF6600"/>
              </a:solidFill>
              <a:latin typeface="Calibri"/>
              <a:ea typeface="Calibri"/>
              <a:cs typeface="Calibri"/>
            </a:rPr>
            <a:t>orange </a:t>
          </a:r>
          <a:r>
            <a:rPr lang="en-US" cap="none" sz="1100" b="0" i="0" u="none" baseline="0">
              <a:solidFill>
                <a:srgbClr val="000000"/>
              </a:solidFill>
              <a:latin typeface="Calibri"/>
              <a:ea typeface="Calibri"/>
              <a:cs typeface="Calibri"/>
            </a:rPr>
            <a:t>färg</a:t>
          </a:r>
          <a:r>
            <a:rPr lang="en-US" cap="none" sz="1100" b="0" i="0" u="none" baseline="0">
              <a:solidFill>
                <a:srgbClr val="000000"/>
              </a:solidFill>
              <a:latin typeface="Calibri"/>
              <a:ea typeface="Calibri"/>
              <a:cs typeface="Calibri"/>
            </a:rPr>
            <a:t>.  Tabellen"Sammandrag" presenterar den sammanlagda statsandelsfinansieringen.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Kalkyleringsmodellen består av tio tabeller:
</a:t>
          </a:r>
          <a:r>
            <a:rPr lang="en-US" cap="none" sz="1100" b="0" i="0" u="none" baseline="0">
              <a:solidFill>
                <a:srgbClr val="000000"/>
              </a:solidFill>
              <a:latin typeface="Calibri"/>
              <a:ea typeface="Calibri"/>
              <a:cs typeface="Calibri"/>
            </a:rPr>
            <a:t>1. Ifyllnadsanvisningar
</a:t>
          </a:r>
          <a:r>
            <a:rPr lang="en-US" cap="none" sz="1100" b="1" i="0" u="none" baseline="0">
              <a:solidFill>
                <a:srgbClr val="FF6600"/>
              </a:solidFill>
              <a:latin typeface="Calibri"/>
              <a:ea typeface="Calibri"/>
              <a:cs typeface="Calibri"/>
            </a:rPr>
            <a:t>2. Sammandrag
</a:t>
          </a:r>
          <a:r>
            <a:rPr lang="en-US" cap="none" sz="1100" b="1" i="0" u="none" baseline="0">
              <a:solidFill>
                <a:srgbClr val="339966"/>
              </a:solidFill>
              <a:latin typeface="Calibri"/>
              <a:ea typeface="Calibri"/>
              <a:cs typeface="Calibri"/>
            </a:rPr>
            <a:t>3. Social- och hälsovård
</a:t>
          </a:r>
          <a:r>
            <a:rPr lang="en-US" cap="none" sz="1100" b="1" i="0" u="none" baseline="0">
              <a:solidFill>
                <a:srgbClr val="339966"/>
              </a:solidFill>
              <a:latin typeface="Calibri"/>
              <a:ea typeface="Calibri"/>
              <a:cs typeface="Calibri"/>
            </a:rPr>
            <a:t>4. Förskole- och grundutbildning samt kultur
</a:t>
          </a:r>
          <a:r>
            <a:rPr lang="en-US" cap="none" sz="1100" b="1" i="0" u="none" baseline="0">
              <a:solidFill>
                <a:srgbClr val="339966"/>
              </a:solidFill>
              <a:latin typeface="Calibri"/>
              <a:ea typeface="Calibri"/>
              <a:cs typeface="Calibri"/>
            </a:rPr>
            <a:t>5. Allmän del och tillägg
</a:t>
          </a:r>
          <a:r>
            <a:rPr lang="en-US" cap="none" sz="1100" b="1" i="0" u="none" baseline="0">
              <a:solidFill>
                <a:srgbClr val="339966"/>
              </a:solidFill>
              <a:latin typeface="Calibri"/>
              <a:ea typeface="Calibri"/>
              <a:cs typeface="Calibri"/>
            </a:rPr>
            <a:t>6. Minskningar och ökningar i statsandelen
</a:t>
          </a:r>
          <a:r>
            <a:rPr lang="en-US" cap="none" sz="1100" b="1" i="0" u="none" baseline="0">
              <a:solidFill>
                <a:srgbClr val="339966"/>
              </a:solidFill>
              <a:latin typeface="Calibri"/>
              <a:ea typeface="Calibri"/>
              <a:cs typeface="Calibri"/>
            </a:rPr>
            <a:t>7. Utjämning som systemändringen medför 
</a:t>
          </a:r>
          <a:r>
            <a:rPr lang="en-US" cap="none" sz="1100" b="1" i="0" u="none" baseline="0">
              <a:solidFill>
                <a:srgbClr val="339966"/>
              </a:solidFill>
              <a:latin typeface="Calibri"/>
              <a:ea typeface="Calibri"/>
              <a:cs typeface="Calibri"/>
            </a:rPr>
            <a:t>8. Hemkommunsersättningar
</a:t>
          </a:r>
          <a:r>
            <a:rPr lang="en-US" cap="none" sz="1100" b="1" i="0" u="none" baseline="0">
              <a:solidFill>
                <a:srgbClr val="0066CC"/>
              </a:solidFill>
              <a:latin typeface="Calibri"/>
              <a:ea typeface="Calibri"/>
              <a:cs typeface="Calibri"/>
            </a:rPr>
            <a:t>9. Utbildning och kultur, övriga statsandelar
</a:t>
          </a:r>
          <a:r>
            <a:rPr lang="en-US" cap="none" sz="1100" b="1" i="0" u="none" baseline="0">
              <a:solidFill>
                <a:srgbClr val="0066CC"/>
              </a:solidFill>
              <a:latin typeface="Calibri"/>
              <a:ea typeface="Calibri"/>
              <a:cs typeface="Calibri"/>
            </a:rPr>
            <a:t>9. Gymnasium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Genom att fylla i och/eller granska uppgifterna i de färglagda cellerna i de ovannämnda tio tabellerna beräknar kalkyleringsmodellen statsandelen för den enskilda kommunen. De färglagda cellerna utgör grunden för statsandelen (befolknings-, demografi -samt övriga definitionsfaktorer) och kalkylbladets tabeller kan även användas separat , t.ex. vid uträknandet av social- och hälsovårdens kalkylmässiga kostnader samt gymnasiers enhetspris.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Vänligen notera att tabellerna också innehåller tilläggsuppgifter som har tillsatts med kommentar -verktyget vid presenterandet av statsandelen. Dessa celler har en röd triangel i det övre hörnet. Kommentarerna kan läsas genom att man föra musen på ifrågavarande cell (på finska, men kan översättas enligt behov).
</a:t>
          </a:r>
          <a:r>
            <a:rPr lang="en-US" cap="none" sz="1100" b="1" i="0" u="none" baseline="0">
              <a:solidFill>
                <a:srgbClr val="0066CC"/>
              </a:solidFill>
              <a:latin typeface="Calibri"/>
              <a:ea typeface="Calibri"/>
              <a:cs typeface="Calibri"/>
            </a:rPr>
            <a:t>
</a:t>
          </a:r>
          <a:r>
            <a:rPr lang="en-US" cap="none" sz="1100" b="1" i="0" u="none" baseline="0">
              <a:solidFill>
                <a:srgbClr val="FF6600"/>
              </a:solidFill>
              <a:latin typeface="Calibri"/>
              <a:ea typeface="Calibri"/>
              <a:cs typeface="Calibri"/>
            </a:rPr>
            <a:t>Sammandrag
</a:t>
          </a:r>
          <a:r>
            <a:rPr lang="en-US" cap="none" sz="1100" b="0" i="0" u="none" baseline="0">
              <a:solidFill>
                <a:srgbClr val="000000"/>
              </a:solidFill>
              <a:latin typeface="Calibri"/>
              <a:ea typeface="Calibri"/>
              <a:cs typeface="Calibri"/>
            </a:rPr>
            <a:t>Sammandrag -tabellen är markerad med </a:t>
          </a:r>
          <a:r>
            <a:rPr lang="en-US" cap="none" sz="1100" b="1" i="0" u="none" baseline="0">
              <a:solidFill>
                <a:srgbClr val="FF6600"/>
              </a:solidFill>
              <a:latin typeface="Calibri"/>
              <a:ea typeface="Calibri"/>
              <a:cs typeface="Calibri"/>
            </a:rPr>
            <a:t>orange </a:t>
          </a:r>
          <a:r>
            <a:rPr lang="en-US" cap="none" sz="1100" b="0" i="0" u="none" baseline="0">
              <a:solidFill>
                <a:srgbClr val="000000"/>
              </a:solidFill>
              <a:latin typeface="Calibri"/>
              <a:ea typeface="Calibri"/>
              <a:cs typeface="Calibri"/>
            </a:rPr>
            <a:t>bakgrundsfärg  nedan vid tabellväljarna. Informationen från de </a:t>
          </a:r>
          <a:r>
            <a:rPr lang="en-US" cap="none" sz="1100" b="1" i="0" u="none" baseline="0">
              <a:solidFill>
                <a:srgbClr val="0066CC"/>
              </a:solidFill>
              <a:latin typeface="Calibri"/>
              <a:ea typeface="Calibri"/>
              <a:cs typeface="Calibri"/>
            </a:rPr>
            <a:t>blåa </a:t>
          </a:r>
          <a:r>
            <a:rPr lang="en-US" cap="none" sz="1100" b="0" i="0" u="none" baseline="0">
              <a:solidFill>
                <a:srgbClr val="000000"/>
              </a:solidFill>
              <a:latin typeface="Calibri"/>
              <a:ea typeface="Calibri"/>
              <a:cs typeface="Calibri"/>
            </a:rPr>
            <a:t>och de </a:t>
          </a:r>
          <a:r>
            <a:rPr lang="en-US" cap="none" sz="1100" b="1" i="0" u="none" baseline="0">
              <a:solidFill>
                <a:srgbClr val="339966"/>
              </a:solidFill>
              <a:latin typeface="Calibri"/>
              <a:ea typeface="Calibri"/>
              <a:cs typeface="Calibri"/>
            </a:rPr>
            <a:t>gröna </a:t>
          </a:r>
          <a:r>
            <a:rPr lang="en-US" cap="none" sz="1100" b="0" i="0" u="none" baseline="0">
              <a:solidFill>
                <a:srgbClr val="000000"/>
              </a:solidFill>
              <a:latin typeface="Calibri"/>
              <a:ea typeface="Calibri"/>
              <a:cs typeface="Calibri"/>
            </a:rPr>
            <a:t>tabellerna överförs automatiskt till de gula cellerna i sammandrag -tabellen.
</a:t>
          </a:r>
          <a:r>
            <a:rPr lang="en-US" cap="none" sz="1100" b="0" i="0" u="none" baseline="0">
              <a:solidFill>
                <a:srgbClr val="000000"/>
              </a:solidFill>
              <a:latin typeface="Calibri"/>
              <a:ea typeface="Calibri"/>
              <a:cs typeface="Calibri"/>
            </a:rPr>
            <a:t> 
</a:t>
          </a:r>
          <a:r>
            <a:rPr lang="en-US" cap="none" sz="1100" b="1" i="0" u="none" baseline="0">
              <a:solidFill>
                <a:srgbClr val="339966"/>
              </a:solidFill>
              <a:latin typeface="Calibri"/>
              <a:ea typeface="Calibri"/>
              <a:cs typeface="Calibri"/>
            </a:rPr>
            <a:t>Kommunvisa stastandelar för kommunal basservice (statsandelar i en enda penningström)
</a:t>
          </a:r>
          <a:r>
            <a:rPr lang="en-US" cap="none" sz="1100" b="0" i="0" u="none" baseline="0">
              <a:solidFill>
                <a:srgbClr val="000000"/>
              </a:solidFill>
              <a:latin typeface="Calibri"/>
              <a:ea typeface="Calibri"/>
              <a:cs typeface="Calibri"/>
            </a:rPr>
            <a:t>Tabellerna som behandlar de kommunvisa statsandelarna för kommunal basservice är markerade med </a:t>
          </a:r>
          <a:r>
            <a:rPr lang="en-US" cap="none" sz="1100" b="1" i="0" u="none" baseline="0">
              <a:solidFill>
                <a:srgbClr val="339966"/>
              </a:solidFill>
              <a:latin typeface="Calibri"/>
              <a:ea typeface="Calibri"/>
              <a:cs typeface="Calibri"/>
            </a:rPr>
            <a:t>grön </a:t>
          </a:r>
          <a:r>
            <a:rPr lang="en-US" cap="none" sz="1100" b="0" i="0" u="none" baseline="0">
              <a:solidFill>
                <a:srgbClr val="000000"/>
              </a:solidFill>
              <a:latin typeface="Calibri"/>
              <a:ea typeface="Calibri"/>
              <a:cs typeface="Calibri"/>
            </a:rPr>
            <a:t>bakgrundsfärg vid tabellväljaren.Kalkyleringsmodellen räknar ut de kalkylmässiga kostnaderna för social - och hälsovården, förskolan och den grundläggande utbildningen samt för biblioteken. Kalkylmodellen räknar även  kulturverksamhetens och den konstnärliga grundutbildningens kalkylmässiga grunder (som baserar sig på invånarantalet)  samt den allmänna delen, tilläggsdelarna, avdragen och tilläggen i statsandelarna samt hemkommunsersättningarna (när uppgifterna fylls i de gula cellerna i respektive tabell).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Då man använder kalkyleringsmodellen lönar det sig att granskariktigheten i de nationella uppgifterna (t.ex. baspriserna). Detta är vikigt eftersom de nationella uppgifterna uppdateras regelbundet under beräkningarnas framskridande innan inledningen av räkenskapsåret.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Vid beräknandet av hemkommunersättningen anges antalet 6-15 åringar som utför utbildningsplikten i annan kommun än den egna hemkommunen, enligt åldersgrupp och hemkommun i respektive tabell  (enligt uppgifter från enkäten om hemkommunsersättning den 31.12). Hemkommunsersättningens allmänna delar  finns i tabellen "Hemkommunsersättningar". För de 6-15 -åringar som saknar hemkommun betalar staten hemkommunersättningen och som grunddel i hemkommunsersättningen fungerar utbildningsarrngörens hemkommun (eller alternativt  kommunen där den privata skolan är belägen).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66CC"/>
              </a:solidFill>
              <a:latin typeface="Calibri"/>
              <a:ea typeface="Calibri"/>
              <a:cs typeface="Calibri"/>
            </a:rPr>
            <a:t>Utbildning och kulturverksamhetens statsandelar
</a:t>
          </a:r>
          <a:r>
            <a:rPr lang="en-US" cap="none" sz="1100" b="0" i="0" u="none" baseline="0">
              <a:solidFill>
                <a:srgbClr val="000000"/>
              </a:solidFill>
              <a:latin typeface="Calibri"/>
              <a:ea typeface="Calibri"/>
              <a:cs typeface="Calibri"/>
            </a:rPr>
            <a:t>En del av statsandelsfinansieringen delas ut på basen av Lag om finansiering av utbildning- och kulturverksamhet (1705/2009). Den i eurobelopp största andelen av statsandelsfinansieringen inom utbildning- och kulturverksamheten utgörs av andra gradens utbildningsarrangörer samt utbetalningen till yrkeshögskolorna enligt huvudmannens enhetsprisfinansiering.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Till statsandelsfinansieringen av  utbildning- och kulturverksamheten räknas även förskole- och grundutbildningens elevbaserade finansierade tillägg  (bl.a. för handikappade- och vid tilläggs- och ämnesstudier) samt statsandelsfinansiering för övrig utbildning- och kulturverksamhet (t.ex. statsandelar för morgon- och eftermiddagsverksamhet, motion, ungdomsarbete, muséer, teatrar och orkestrar). Statsandelarna för utbildnings- och kulturverksamheten är markerade med </a:t>
          </a:r>
          <a:r>
            <a:rPr lang="en-US" cap="none" sz="1100" b="1" i="0" u="none" baseline="0">
              <a:solidFill>
                <a:srgbClr val="0066CC"/>
              </a:solidFill>
              <a:latin typeface="Calibri"/>
              <a:ea typeface="Calibri"/>
              <a:cs typeface="Calibri"/>
            </a:rPr>
            <a:t>blå</a:t>
          </a:r>
          <a:r>
            <a:rPr lang="en-US" cap="none" sz="1100" b="0" i="0" u="none" baseline="0">
              <a:solidFill>
                <a:srgbClr val="0066CC"/>
              </a:solidFill>
              <a:latin typeface="Calibri"/>
              <a:ea typeface="Calibri"/>
              <a:cs typeface="Calibri"/>
            </a:rPr>
            <a:t> </a:t>
          </a:r>
          <a:r>
            <a:rPr lang="en-US" cap="none" sz="1100" b="0" i="0" u="none" baseline="0">
              <a:solidFill>
                <a:srgbClr val="000000"/>
              </a:solidFill>
              <a:latin typeface="Calibri"/>
              <a:ea typeface="Calibri"/>
              <a:cs typeface="Calibri"/>
            </a:rPr>
            <a:t>färg nere vid tabellväljarna. Undervisnings- och kulturministeriets enskilda beslut  gällande stöd och tillägg berörs inte i kalkyleringsmodellen. Till dessa räknas bl.a. separata tillägg för landsbyggds- och centralbiblioteken samt specialbidragen.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Till uppehållarna av den yrkesmässiga utbildningen och yrkeshögskolorna utbetalas enhetsprisfinansiering enligt beräkningsmodellen som finns på Kommunförbundets internetsidor. (se Beräkningsmodell åt huvudmannen).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66675</xdr:colOff>
      <xdr:row>9</xdr:row>
      <xdr:rowOff>38100</xdr:rowOff>
    </xdr:from>
    <xdr:ext cx="5981700" cy="1819275"/>
    <xdr:sp>
      <xdr:nvSpPr>
        <xdr:cNvPr id="1" name="Tekstiruutu 1"/>
        <xdr:cNvSpPr txBox="1">
          <a:spLocks noChangeArrowheads="1"/>
        </xdr:cNvSpPr>
      </xdr:nvSpPr>
      <xdr:spPr>
        <a:xfrm>
          <a:off x="66675" y="1533525"/>
          <a:ext cx="5981700" cy="1819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Tilläggen och avdragen som statsandelssystemet (som trädde i kraft i början av år 2010) orsakade att de delades ut jämt mellan samtliga kommuner.</a:t>
          </a:r>
          <a:r>
            <a:rPr lang="en-US" cap="none" sz="1100" b="0" i="0" u="none" baseline="0">
              <a:solidFill>
                <a:srgbClr val="000000"/>
              </a:solidFill>
              <a:latin typeface="Calibri"/>
              <a:ea typeface="Calibri"/>
              <a:cs typeface="Calibri"/>
            </a:rPr>
            <a:t> Utjämningen är tills vidare i kraft som en del av statsandelssystemet.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utjämningen tillägger eller avdrar man från kommunens statsandel årsvis det</a:t>
          </a:r>
          <a:r>
            <a:rPr lang="en-US" cap="none" sz="1100" b="0" i="0" u="none" baseline="0">
              <a:solidFill>
                <a:srgbClr val="000000"/>
              </a:solidFill>
              <a:latin typeface="Calibri"/>
              <a:ea typeface="Calibri"/>
              <a:cs typeface="Calibri"/>
            </a:rPr>
            <a:t> eurobelopp som man får vid jämförandet av statsandelarna som betalades ut år 2010. Även de betalda och erhållna hemkommunsersättningarna beaktas och likaså utbildnings- och kulturväsendets lagstadgade statsandelsfinansiering (enligt de uppgifter som de riktas till och som kommunen hade erhållit det nämnda året). Detta gäller ifall statsandelarna hade beräknats enligt statsandelslagstiftningen som var i kraft före utgången av år 2009.</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N19"/>
  <sheetViews>
    <sheetView zoomScale="90" zoomScaleNormal="90" workbookViewId="0" topLeftCell="A1">
      <selection activeCell="A1" sqref="A1"/>
    </sheetView>
  </sheetViews>
  <sheetFormatPr defaultColWidth="9.140625" defaultRowHeight="12.75"/>
  <cols>
    <col min="9" max="9" width="13.28125" style="0" customWidth="1"/>
    <col min="11" max="11" width="10.8515625" style="0" customWidth="1"/>
    <col min="12" max="12" width="3.57421875" style="0" customWidth="1"/>
    <col min="13" max="13" width="1.421875" style="0" customWidth="1"/>
  </cols>
  <sheetData>
    <row r="1" spans="1:12" ht="12.75">
      <c r="A1" s="82"/>
      <c r="L1" s="82"/>
    </row>
    <row r="2" spans="1:12" ht="12.75">
      <c r="A2" s="82"/>
      <c r="L2" s="82"/>
    </row>
    <row r="11" spans="1:14" ht="12.75">
      <c r="A11" s="5"/>
      <c r="B11" s="5"/>
      <c r="C11" s="5"/>
      <c r="D11" s="5"/>
      <c r="E11" s="5"/>
      <c r="F11" s="5"/>
      <c r="G11" s="5"/>
      <c r="H11" s="5"/>
      <c r="I11" s="5"/>
      <c r="L11" s="5"/>
      <c r="M11" s="5"/>
      <c r="N11" s="5"/>
    </row>
    <row r="12" spans="1:14" ht="12.75">
      <c r="A12" s="5"/>
      <c r="B12" s="5"/>
      <c r="C12" s="5"/>
      <c r="D12" s="5"/>
      <c r="E12" s="5"/>
      <c r="F12" s="5"/>
      <c r="G12" s="5"/>
      <c r="H12" s="5"/>
      <c r="I12" s="5"/>
      <c r="L12" s="5"/>
      <c r="M12" s="5"/>
      <c r="N12" s="5"/>
    </row>
    <row r="13" spans="1:14" ht="12.75">
      <c r="A13" s="5"/>
      <c r="B13" s="5"/>
      <c r="C13" s="5"/>
      <c r="D13" s="5"/>
      <c r="E13" s="5"/>
      <c r="F13" s="5"/>
      <c r="G13" s="5"/>
      <c r="H13" s="5"/>
      <c r="I13" s="5"/>
      <c r="L13" s="5"/>
      <c r="M13" s="5"/>
      <c r="N13" s="5"/>
    </row>
    <row r="14" spans="1:14" ht="12.75">
      <c r="A14" s="5"/>
      <c r="B14" s="5"/>
      <c r="C14" s="5"/>
      <c r="D14" s="5"/>
      <c r="E14" s="5"/>
      <c r="F14" s="5"/>
      <c r="G14" s="5"/>
      <c r="H14" s="5"/>
      <c r="I14" s="5"/>
      <c r="L14" s="5"/>
      <c r="M14" s="5"/>
      <c r="N14" s="5"/>
    </row>
    <row r="15" spans="1:14" ht="12.75">
      <c r="A15" s="5"/>
      <c r="B15" s="5"/>
      <c r="C15" s="5"/>
      <c r="D15" s="5"/>
      <c r="E15" s="5"/>
      <c r="F15" s="5"/>
      <c r="G15" s="5"/>
      <c r="H15" s="5"/>
      <c r="I15" s="5"/>
      <c r="L15" s="5"/>
      <c r="M15" s="5"/>
      <c r="N15" s="5"/>
    </row>
    <row r="16" spans="1:14" ht="12.75">
      <c r="A16" s="5"/>
      <c r="B16" s="5"/>
      <c r="C16" s="5"/>
      <c r="D16" s="5"/>
      <c r="E16" s="5"/>
      <c r="F16" s="5"/>
      <c r="G16" s="5"/>
      <c r="H16" s="5"/>
      <c r="I16" s="5"/>
      <c r="L16" s="5"/>
      <c r="M16" s="5"/>
      <c r="N16" s="5"/>
    </row>
    <row r="17" spans="1:14" ht="12.75">
      <c r="A17" s="5"/>
      <c r="B17" s="5"/>
      <c r="C17" s="5"/>
      <c r="D17" s="5"/>
      <c r="E17" s="5"/>
      <c r="F17" s="5"/>
      <c r="G17" s="5"/>
      <c r="H17" s="5"/>
      <c r="I17" s="5"/>
      <c r="L17" s="5"/>
      <c r="M17" s="5"/>
      <c r="N17" s="5"/>
    </row>
    <row r="19" spans="1:12" ht="12.75">
      <c r="A19" s="83"/>
      <c r="L19" s="83"/>
    </row>
  </sheetData>
  <sheetProtection/>
  <printOptions/>
  <pageMargins left="0.25" right="0.25" top="0.75" bottom="0.75" header="0.3" footer="0.3"/>
  <pageSetup fitToHeight="0" fitToWidth="1" horizontalDpi="600" verticalDpi="600" orientation="portrait" paperSize="9" scale="90" r:id="rId2"/>
  <rowBreaks count="1" manualBreakCount="1">
    <brk id="66" max="255" man="1"/>
  </rowBreaks>
  <drawing r:id="rId1"/>
</worksheet>
</file>

<file path=xl/worksheets/sheet10.xml><?xml version="1.0" encoding="utf-8"?>
<worksheet xmlns="http://schemas.openxmlformats.org/spreadsheetml/2006/main" xmlns:r="http://schemas.openxmlformats.org/officeDocument/2006/relationships">
  <sheetPr>
    <tabColor theme="8" tint="0.39998000860214233"/>
    <pageSetUpPr fitToPage="1"/>
  </sheetPr>
  <dimension ref="A1:M53"/>
  <sheetViews>
    <sheetView zoomScalePageLayoutView="0" workbookViewId="0" topLeftCell="A1">
      <selection activeCell="K52" sqref="K52"/>
    </sheetView>
  </sheetViews>
  <sheetFormatPr defaultColWidth="9.140625" defaultRowHeight="12.75"/>
  <cols>
    <col min="1" max="4" width="3.00390625" style="0" customWidth="1"/>
    <col min="5" max="5" width="9.421875" style="0" customWidth="1"/>
    <col min="6" max="7" width="10.00390625" style="0" customWidth="1"/>
    <col min="8" max="8" width="11.57421875" style="0" customWidth="1"/>
    <col min="9" max="9" width="10.57421875" style="0" customWidth="1"/>
    <col min="10" max="10" width="11.7109375" style="0" customWidth="1"/>
  </cols>
  <sheetData>
    <row r="1" spans="1:5" ht="18">
      <c r="A1" s="106" t="s">
        <v>612</v>
      </c>
      <c r="E1" s="44"/>
    </row>
    <row r="2" ht="12.75">
      <c r="E2" s="81"/>
    </row>
    <row r="3" spans="2:10" ht="18">
      <c r="B3" s="336" t="s">
        <v>611</v>
      </c>
      <c r="C3" s="337"/>
      <c r="D3" s="337"/>
      <c r="E3" s="337"/>
      <c r="F3" s="337"/>
      <c r="G3" s="337"/>
      <c r="H3" s="337"/>
      <c r="I3" s="337"/>
      <c r="J3" s="338"/>
    </row>
    <row r="5" spans="2:6" ht="12.75">
      <c r="B5" s="74" t="s">
        <v>418</v>
      </c>
      <c r="C5" s="33"/>
      <c r="D5" s="33"/>
      <c r="E5" s="47"/>
      <c r="F5" s="75" t="s">
        <v>419</v>
      </c>
    </row>
    <row r="6" spans="2:6" ht="12.75">
      <c r="B6" s="33"/>
      <c r="C6" s="33"/>
      <c r="D6" s="33"/>
      <c r="E6" s="134"/>
      <c r="F6" s="75" t="s">
        <v>420</v>
      </c>
    </row>
    <row r="7" ht="12.75">
      <c r="M7" s="2"/>
    </row>
    <row r="8" spans="2:8" ht="12.75">
      <c r="B8" s="110" t="s">
        <v>421</v>
      </c>
      <c r="E8" s="183"/>
      <c r="G8" s="9"/>
      <c r="H8" s="184" t="str">
        <f>'2. Sammandrag'!G12</f>
        <v>Akaa</v>
      </c>
    </row>
    <row r="9" spans="2:8" ht="12.75">
      <c r="B9" s="110" t="s">
        <v>389</v>
      </c>
      <c r="H9" s="185">
        <f>'2. Sammandrag'!H13</f>
        <v>17091</v>
      </c>
    </row>
    <row r="11" spans="2:5" ht="15.75">
      <c r="B11" s="1" t="s">
        <v>613</v>
      </c>
      <c r="E11" s="4"/>
    </row>
    <row r="12" spans="5:10" ht="12.75">
      <c r="E12" s="2"/>
      <c r="F12" s="45"/>
      <c r="G12" s="2"/>
      <c r="H12" s="2"/>
      <c r="I12" s="2"/>
      <c r="J12" s="2"/>
    </row>
    <row r="13" spans="3:12" ht="12.75">
      <c r="C13" s="2" t="s">
        <v>614</v>
      </c>
      <c r="F13" s="2"/>
      <c r="G13" s="2"/>
      <c r="H13" s="129">
        <v>6704.4</v>
      </c>
      <c r="I13" s="2"/>
      <c r="J13" s="2"/>
      <c r="K13" s="2"/>
      <c r="L13" s="2"/>
    </row>
    <row r="14" spans="3:12" ht="12.75">
      <c r="C14" s="2" t="s">
        <v>615</v>
      </c>
      <c r="F14" s="2"/>
      <c r="G14" s="2"/>
      <c r="H14" s="186">
        <v>0.9125122</v>
      </c>
      <c r="I14" s="2"/>
      <c r="J14" s="2"/>
      <c r="K14" s="2"/>
      <c r="L14" s="2"/>
    </row>
    <row r="15" spans="5:12" ht="12.75">
      <c r="E15" s="2"/>
      <c r="F15" s="2"/>
      <c r="G15" s="2"/>
      <c r="H15" s="46"/>
      <c r="I15" s="2"/>
      <c r="J15" s="2"/>
      <c r="K15" s="2"/>
      <c r="L15" s="2"/>
    </row>
    <row r="16" spans="5:12" ht="12.75">
      <c r="E16" s="2"/>
      <c r="F16" s="2"/>
      <c r="G16" s="2"/>
      <c r="I16" s="200" t="s">
        <v>633</v>
      </c>
      <c r="K16" s="2"/>
      <c r="L16" s="2"/>
    </row>
    <row r="17" spans="5:12" ht="12.75">
      <c r="E17" s="2"/>
      <c r="F17" s="2"/>
      <c r="G17" s="2"/>
      <c r="I17" s="200" t="s">
        <v>634</v>
      </c>
      <c r="J17" s="201" t="s">
        <v>618</v>
      </c>
      <c r="K17" s="2"/>
      <c r="L17" s="2"/>
    </row>
    <row r="18" spans="4:12" ht="12.75">
      <c r="D18" s="2" t="s">
        <v>616</v>
      </c>
      <c r="F18" s="2"/>
      <c r="G18" s="2"/>
      <c r="I18" s="47"/>
      <c r="J18" s="2">
        <f>IF(I18=0,0,IF(I18&lt;40,206,IF(I18&lt;60,100+0.4*(200-I18)+2.1*(60-I18),IF(I18&lt;200,100+0.4*(200-I18),IF(I18&gt;199,100)))))</f>
        <v>0</v>
      </c>
      <c r="K18" s="2"/>
      <c r="L18" s="2"/>
    </row>
    <row r="19" spans="4:12" ht="12.75">
      <c r="D19" s="2" t="s">
        <v>617</v>
      </c>
      <c r="F19" s="2"/>
      <c r="G19" s="2"/>
      <c r="I19" s="47"/>
      <c r="J19" s="2">
        <f>IF(I19=0,0,IF(I19&lt;40,206,IF(I19&lt;60,100+0.4*(200-I19)+2.1*(60-I19),IF(I19&lt;200,100+0.4*(200-I19),IF(I19&gt;199,100)))))</f>
        <v>0</v>
      </c>
      <c r="K19" s="2"/>
      <c r="L19" s="2"/>
    </row>
    <row r="20" spans="3:12" ht="12.75">
      <c r="C20" s="2" t="s">
        <v>619</v>
      </c>
      <c r="F20" s="2"/>
      <c r="G20" s="2"/>
      <c r="I20" s="48">
        <f>I18+I19</f>
        <v>0</v>
      </c>
      <c r="J20" s="2"/>
      <c r="K20" s="2"/>
      <c r="L20" s="2"/>
    </row>
    <row r="21" spans="6:12" ht="12.75">
      <c r="F21" s="2"/>
      <c r="G21" s="2"/>
      <c r="H21" s="46"/>
      <c r="I21" s="2"/>
      <c r="J21" s="2"/>
      <c r="K21" s="2"/>
      <c r="L21" s="2"/>
    </row>
    <row r="22" spans="3:12" ht="12.75">
      <c r="C22" s="333" t="s">
        <v>620</v>
      </c>
      <c r="F22" s="2"/>
      <c r="G22" s="2"/>
      <c r="H22" s="46"/>
      <c r="I22" s="2"/>
      <c r="J22" s="49">
        <f>IF(I20=0,100,((I18*J18+I19*J19)/I20))</f>
        <v>100</v>
      </c>
      <c r="K22" s="2"/>
      <c r="L22" s="2"/>
    </row>
    <row r="23" spans="6:12" ht="12.75">
      <c r="F23" s="2"/>
      <c r="G23" s="2"/>
      <c r="H23" s="46"/>
      <c r="I23" s="2"/>
      <c r="J23" s="2"/>
      <c r="K23" s="2"/>
      <c r="L23" s="2"/>
    </row>
    <row r="24" spans="3:12" ht="12.75">
      <c r="C24" s="5" t="s">
        <v>621</v>
      </c>
      <c r="F24" s="2"/>
      <c r="G24" s="2"/>
      <c r="H24" s="46"/>
      <c r="I24" s="2"/>
      <c r="J24" s="50">
        <f>IF(I20=0,H13*H14,$H$14*$H$13*J22/100)</f>
        <v>6117.84679368</v>
      </c>
      <c r="K24" s="2"/>
      <c r="L24" s="2"/>
    </row>
    <row r="25" spans="6:12" ht="12.75">
      <c r="F25" s="2"/>
      <c r="G25" s="2"/>
      <c r="H25" s="46"/>
      <c r="I25" s="2"/>
      <c r="J25" s="2"/>
      <c r="K25" s="2"/>
      <c r="L25" s="2"/>
    </row>
    <row r="26" spans="3:12" ht="12.75">
      <c r="C26" s="5" t="s">
        <v>622</v>
      </c>
      <c r="F26" s="2"/>
      <c r="G26" s="2"/>
      <c r="H26" s="46"/>
      <c r="I26" s="2"/>
      <c r="J26" s="36"/>
      <c r="K26" s="2"/>
      <c r="L26" s="2"/>
    </row>
    <row r="27" spans="6:12" ht="12.75">
      <c r="F27" s="2"/>
      <c r="G27" s="2"/>
      <c r="H27" s="46"/>
      <c r="I27" s="2"/>
      <c r="J27" s="2"/>
      <c r="K27" s="2"/>
      <c r="L27" s="2"/>
    </row>
    <row r="28" spans="2:11" ht="12.75">
      <c r="B28" s="76" t="s">
        <v>623</v>
      </c>
      <c r="C28" s="195"/>
      <c r="D28" s="192"/>
      <c r="E28" s="192"/>
      <c r="F28" s="192"/>
      <c r="G28" s="192"/>
      <c r="H28" s="193"/>
      <c r="I28" s="194">
        <f>ROUND(J24+(J24*J26/100),2)</f>
        <v>6117.85</v>
      </c>
      <c r="J28" s="195" t="s">
        <v>625</v>
      </c>
      <c r="K28" s="2"/>
    </row>
    <row r="29" spans="2:11" ht="12.75">
      <c r="B29" s="69" t="s">
        <v>624</v>
      </c>
      <c r="C29" s="199"/>
      <c r="D29" s="196"/>
      <c r="E29" s="196"/>
      <c r="F29" s="196"/>
      <c r="G29" s="196"/>
      <c r="H29" s="197"/>
      <c r="I29" s="198">
        <f>ROUND(0.58*I28,2)</f>
        <v>3548.35</v>
      </c>
      <c r="J29" s="199" t="s">
        <v>625</v>
      </c>
      <c r="K29" s="2"/>
    </row>
    <row r="30" spans="6:12" ht="12.75">
      <c r="F30" s="2"/>
      <c r="G30" s="2"/>
      <c r="H30" s="46"/>
      <c r="I30" s="2"/>
      <c r="J30" s="2"/>
      <c r="K30" s="2"/>
      <c r="L30" s="2"/>
    </row>
    <row r="31" spans="2:12" ht="12.75">
      <c r="B31" s="74" t="s">
        <v>626</v>
      </c>
      <c r="F31" s="2"/>
      <c r="G31" s="2"/>
      <c r="H31" s="46"/>
      <c r="I31" s="2"/>
      <c r="J31" s="2"/>
      <c r="K31" s="2"/>
      <c r="L31" s="2"/>
    </row>
    <row r="32" spans="6:12" ht="12.75">
      <c r="F32" s="2"/>
      <c r="G32" s="2"/>
      <c r="H32" s="46"/>
      <c r="I32" s="2"/>
      <c r="J32" s="2"/>
      <c r="K32" s="2"/>
      <c r="L32" s="2"/>
    </row>
    <row r="33" spans="2:12" ht="15.75">
      <c r="B33" s="1" t="s">
        <v>627</v>
      </c>
      <c r="E33" s="4"/>
      <c r="F33" s="2"/>
      <c r="G33" s="2"/>
      <c r="H33" s="46"/>
      <c r="I33" s="2"/>
      <c r="J33" s="2"/>
      <c r="K33" s="2"/>
      <c r="L33" s="2"/>
    </row>
    <row r="34" spans="6:12" ht="12.75">
      <c r="F34" s="2"/>
      <c r="G34" s="2"/>
      <c r="H34" s="46"/>
      <c r="I34" s="2"/>
      <c r="J34" s="2"/>
      <c r="K34" s="2"/>
      <c r="L34" s="2"/>
    </row>
    <row r="35" spans="6:12" ht="12.75">
      <c r="F35" s="2"/>
      <c r="G35" s="2"/>
      <c r="H35" s="200" t="s">
        <v>446</v>
      </c>
      <c r="I35" s="201" t="s">
        <v>635</v>
      </c>
      <c r="J35" s="2"/>
      <c r="K35" s="2"/>
      <c r="L35" s="2"/>
    </row>
    <row r="36" spans="6:12" ht="12.75">
      <c r="F36" s="2"/>
      <c r="G36" s="2"/>
      <c r="H36" s="200" t="s">
        <v>632</v>
      </c>
      <c r="I36" s="201" t="s">
        <v>636</v>
      </c>
      <c r="J36" s="2"/>
      <c r="K36" s="2"/>
      <c r="L36" s="2"/>
    </row>
    <row r="37" spans="4:12" ht="12.75">
      <c r="D37" t="s">
        <v>628</v>
      </c>
      <c r="F37" s="2"/>
      <c r="G37" s="2"/>
      <c r="H37" s="47"/>
      <c r="I37" s="36"/>
      <c r="J37" s="9"/>
      <c r="K37" s="2"/>
      <c r="L37" s="2"/>
    </row>
    <row r="38" spans="4:12" ht="12.75">
      <c r="D38" t="s">
        <v>629</v>
      </c>
      <c r="F38" s="2"/>
      <c r="G38" s="2"/>
      <c r="H38" s="47"/>
      <c r="I38" s="36"/>
      <c r="J38" s="9"/>
      <c r="K38" s="2"/>
      <c r="L38" s="2"/>
    </row>
    <row r="39" spans="3:12" ht="12.75">
      <c r="C39" t="s">
        <v>630</v>
      </c>
      <c r="F39" s="2"/>
      <c r="G39" s="2"/>
      <c r="H39" s="52">
        <f>(H37*7/12)+(H38*5/12)</f>
        <v>0</v>
      </c>
      <c r="I39" s="52">
        <f>(I37*7/12)+(I38*5/12)</f>
        <v>0</v>
      </c>
      <c r="J39" s="2"/>
      <c r="K39" s="2"/>
      <c r="L39" s="2"/>
    </row>
    <row r="40" spans="6:12" ht="12.75">
      <c r="F40" s="2"/>
      <c r="G40" s="2"/>
      <c r="H40" s="46"/>
      <c r="I40" s="2"/>
      <c r="J40" s="2"/>
      <c r="K40" s="2"/>
      <c r="L40" s="2"/>
    </row>
    <row r="41" spans="3:12" ht="12.75">
      <c r="C41" s="334" t="s">
        <v>631</v>
      </c>
      <c r="F41" s="2"/>
      <c r="G41" s="2"/>
      <c r="H41" s="46"/>
      <c r="I41" s="2"/>
      <c r="J41" s="36"/>
      <c r="K41" s="2"/>
      <c r="L41" s="2"/>
    </row>
    <row r="42" spans="6:12" ht="12.75">
      <c r="F42" s="2"/>
      <c r="G42" s="2"/>
      <c r="H42" s="46"/>
      <c r="I42" s="2"/>
      <c r="J42" s="2"/>
      <c r="K42" s="2"/>
      <c r="L42" s="2"/>
    </row>
    <row r="43" spans="6:12" ht="12.75">
      <c r="F43" s="2"/>
      <c r="G43" s="2"/>
      <c r="H43" s="46"/>
      <c r="I43" s="2"/>
      <c r="J43" s="2"/>
      <c r="K43" s="2"/>
      <c r="L43" s="2"/>
    </row>
    <row r="44" spans="3:12" ht="12.75">
      <c r="C44" s="5" t="s">
        <v>649</v>
      </c>
      <c r="F44" s="2"/>
      <c r="G44" s="2"/>
      <c r="H44" s="46"/>
      <c r="I44" s="2"/>
      <c r="J44" s="53">
        <f>I28*(H37*7/12+H38*5/12)</f>
        <v>0</v>
      </c>
      <c r="K44" s="2"/>
      <c r="L44" s="2"/>
    </row>
    <row r="45" spans="3:12" ht="12.75">
      <c r="C45" s="5" t="s">
        <v>650</v>
      </c>
      <c r="F45" s="2"/>
      <c r="G45" s="2"/>
      <c r="H45" s="46"/>
      <c r="I45" s="2"/>
      <c r="J45" s="53">
        <f>I29*(I37*7/12+I38*5/12)</f>
        <v>0</v>
      </c>
      <c r="K45" s="2"/>
      <c r="L45" s="2"/>
    </row>
    <row r="46" spans="3:12" ht="12.75">
      <c r="C46" s="5" t="s">
        <v>651</v>
      </c>
      <c r="F46" s="2"/>
      <c r="G46" s="2"/>
      <c r="H46" s="46"/>
      <c r="I46" s="2"/>
      <c r="J46" s="53">
        <f>I29*J41</f>
        <v>0</v>
      </c>
      <c r="K46" s="2"/>
      <c r="L46" s="2"/>
    </row>
    <row r="47" spans="3:12" ht="12.75">
      <c r="C47" s="5"/>
      <c r="F47" s="2"/>
      <c r="G47" s="2"/>
      <c r="H47" s="46"/>
      <c r="I47" s="2"/>
      <c r="J47" s="53"/>
      <c r="K47" s="2"/>
      <c r="L47" s="2"/>
    </row>
    <row r="48" spans="2:12" ht="12.75">
      <c r="B48" s="74" t="s">
        <v>637</v>
      </c>
      <c r="L48" s="2"/>
    </row>
    <row r="49" spans="2:12" ht="12.75">
      <c r="B49" s="74" t="s">
        <v>638</v>
      </c>
      <c r="L49" s="2"/>
    </row>
    <row r="50" ht="12.75">
      <c r="B50" s="74" t="s">
        <v>639</v>
      </c>
    </row>
    <row r="51" spans="3:11" ht="12.75">
      <c r="C51" s="5"/>
      <c r="F51" s="2"/>
      <c r="G51" s="2"/>
      <c r="H51" s="46"/>
      <c r="I51" s="2"/>
      <c r="J51" s="53"/>
      <c r="K51" s="2"/>
    </row>
    <row r="52" spans="2:11" ht="12.75">
      <c r="B52" s="279" t="s">
        <v>640</v>
      </c>
      <c r="C52" s="108"/>
      <c r="D52" s="108"/>
      <c r="E52" s="133"/>
      <c r="F52" s="108"/>
      <c r="G52" s="108"/>
      <c r="H52" s="202"/>
      <c r="I52" s="108"/>
      <c r="J52" s="109">
        <f>SUM(J44:J46)</f>
        <v>0</v>
      </c>
      <c r="K52" s="2"/>
    </row>
    <row r="53" spans="6:10" ht="12.75">
      <c r="F53" s="2"/>
      <c r="G53" s="2"/>
      <c r="H53" s="46"/>
      <c r="I53" s="2"/>
      <c r="J53" s="2"/>
    </row>
  </sheetData>
  <sheetProtection/>
  <protectedRanges>
    <protectedRange sqref="J41" name="Alue5"/>
    <protectedRange sqref="H37:I38" name="Alue4"/>
    <protectedRange sqref="J26" name="Alue3"/>
    <protectedRange sqref="I18:I19" name="Alue2"/>
    <protectedRange sqref="H13:H14" name="Alue1"/>
  </protectedRanges>
  <mergeCells count="1">
    <mergeCell ref="B3:J3"/>
  </mergeCells>
  <printOptions/>
  <pageMargins left="0.75" right="0.75" top="1" bottom="1" header="0.4921259845" footer="0.4921259845"/>
  <pageSetup fitToHeight="0"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theme="9" tint="0.39998000860214233"/>
    <pageSetUpPr fitToPage="1"/>
  </sheetPr>
  <dimension ref="A1:BM378"/>
  <sheetViews>
    <sheetView zoomScaleSheetLayoutView="100" zoomScalePageLayoutView="0" workbookViewId="0" topLeftCell="A1">
      <selection activeCell="A1" sqref="A1"/>
    </sheetView>
  </sheetViews>
  <sheetFormatPr defaultColWidth="9.140625" defaultRowHeight="12.75"/>
  <cols>
    <col min="1" max="1" width="1.8515625" style="0" customWidth="1"/>
    <col min="2" max="2" width="2.8515625" style="0" customWidth="1"/>
    <col min="3" max="3" width="2.140625" style="0" customWidth="1"/>
    <col min="4" max="5" width="1.8515625" style="0" customWidth="1"/>
    <col min="6" max="6" width="8.7109375" style="0" customWidth="1"/>
    <col min="7" max="7" width="10.140625" style="0" customWidth="1"/>
    <col min="8" max="8" width="12.140625" style="0" customWidth="1"/>
    <col min="9" max="9" width="12.57421875" style="0" customWidth="1"/>
    <col min="10" max="10" width="9.57421875" style="0" customWidth="1"/>
    <col min="11" max="11" width="11.8515625" style="0" customWidth="1"/>
    <col min="12" max="12" width="13.140625" style="0" customWidth="1"/>
    <col min="13" max="13" width="13.00390625" style="0" customWidth="1"/>
    <col min="14" max="14" width="2.00390625" style="0" customWidth="1"/>
    <col min="15" max="43" width="9.28125" style="0" bestFit="1" customWidth="1"/>
    <col min="44" max="44" width="10.57421875" style="0" bestFit="1" customWidth="1"/>
    <col min="45" max="64" width="9.28125" style="0" bestFit="1" customWidth="1"/>
  </cols>
  <sheetData>
    <row r="1" spans="1:5" ht="12.75">
      <c r="A1" s="106" t="s">
        <v>383</v>
      </c>
      <c r="C1" s="106"/>
      <c r="D1" s="106"/>
      <c r="E1" s="106"/>
    </row>
    <row r="2" spans="2:5" ht="12.75">
      <c r="B2" s="77"/>
      <c r="C2" s="77"/>
      <c r="D2" s="77"/>
      <c r="E2" s="77"/>
    </row>
    <row r="3" spans="2:13" ht="18">
      <c r="B3" s="336" t="s">
        <v>352</v>
      </c>
      <c r="C3" s="337"/>
      <c r="D3" s="337"/>
      <c r="E3" s="337"/>
      <c r="F3" s="337"/>
      <c r="G3" s="337"/>
      <c r="H3" s="337"/>
      <c r="I3" s="337"/>
      <c r="J3" s="337"/>
      <c r="K3" s="337"/>
      <c r="L3" s="337"/>
      <c r="M3" s="338"/>
    </row>
    <row r="5" spans="2:5" ht="12.75">
      <c r="B5" s="1" t="s">
        <v>384</v>
      </c>
      <c r="C5" s="1"/>
      <c r="D5" s="1"/>
      <c r="E5" s="1"/>
    </row>
    <row r="7" ht="12" customHeight="1">
      <c r="F7" s="211" t="s">
        <v>385</v>
      </c>
    </row>
    <row r="8" spans="6:9" ht="12" customHeight="1">
      <c r="F8" s="212"/>
      <c r="G8" s="86" t="s">
        <v>386</v>
      </c>
      <c r="H8" s="86"/>
      <c r="I8" s="86"/>
    </row>
    <row r="9" spans="6:7" ht="12" customHeight="1">
      <c r="F9" s="103"/>
      <c r="G9" s="86" t="s">
        <v>387</v>
      </c>
    </row>
    <row r="12" spans="2:9" ht="20.25" customHeight="1">
      <c r="B12" s="1" t="s">
        <v>388</v>
      </c>
      <c r="F12" s="215">
        <f>INDEX($F$74:$F$377,MATCH(G12,$G$74:$G$377,0),1,1)</f>
        <v>20</v>
      </c>
      <c r="G12" s="339" t="s">
        <v>10</v>
      </c>
      <c r="H12" s="340"/>
      <c r="I12" s="87" t="s">
        <v>641</v>
      </c>
    </row>
    <row r="13" spans="2:9" ht="20.25" customHeight="1">
      <c r="B13" s="1" t="s">
        <v>389</v>
      </c>
      <c r="H13" s="214">
        <f>INDEX(vakiluku,MATCH($G$12,kuntanimi,0),1,1)</f>
        <v>17091</v>
      </c>
      <c r="I13" s="87" t="s">
        <v>398</v>
      </c>
    </row>
    <row r="14" spans="2:13" ht="14.25">
      <c r="B14" s="54"/>
      <c r="C14" s="54"/>
      <c r="D14" s="54"/>
      <c r="E14" s="54"/>
      <c r="M14" s="3"/>
    </row>
    <row r="15" spans="12:13" ht="12.75">
      <c r="L15" s="87"/>
      <c r="M15" s="88"/>
    </row>
    <row r="16" spans="2:13" ht="12.75">
      <c r="B16" s="1" t="s">
        <v>390</v>
      </c>
      <c r="C16" s="1"/>
      <c r="D16" s="1"/>
      <c r="E16" s="1"/>
      <c r="L16" s="87" t="s">
        <v>413</v>
      </c>
      <c r="M16" s="87" t="s">
        <v>414</v>
      </c>
    </row>
    <row r="18" spans="4:13" ht="12.75">
      <c r="D18" s="5" t="s">
        <v>391</v>
      </c>
      <c r="E18" s="5"/>
      <c r="F18" s="5"/>
      <c r="L18" s="105">
        <f>'3. Social- och hälsovård'!I54</f>
        <v>65355368.009906895</v>
      </c>
      <c r="M18" s="216">
        <f>L18/$H$13</f>
        <v>3823.963958218179</v>
      </c>
    </row>
    <row r="19" ht="12.75">
      <c r="M19" s="216"/>
    </row>
    <row r="20" spans="4:13" ht="12.75">
      <c r="D20" s="5" t="s">
        <v>392</v>
      </c>
      <c r="E20" s="5"/>
      <c r="F20" s="5"/>
      <c r="L20" s="105">
        <f>'4. Förskole-o grundutb. kult.'!J46</f>
        <v>14908486.471798046</v>
      </c>
      <c r="M20" s="216">
        <f>L20/$H$13</f>
        <v>872.3004196242493</v>
      </c>
    </row>
    <row r="21" ht="12.75">
      <c r="M21" s="216"/>
    </row>
    <row r="22" spans="4:13" ht="12.75">
      <c r="D22" t="s">
        <v>393</v>
      </c>
      <c r="J22" s="38"/>
      <c r="K22" s="3"/>
      <c r="L22" s="104">
        <f>'5. Allmän del o tilläggsdelar'!J34</f>
        <v>564857.5499999999</v>
      </c>
      <c r="M22" s="216">
        <f>L22/$H$13</f>
        <v>33.05</v>
      </c>
    </row>
    <row r="23" ht="12.75">
      <c r="M23" s="216"/>
    </row>
    <row r="24" spans="4:13" ht="12.75">
      <c r="D24" s="5" t="s">
        <v>394</v>
      </c>
      <c r="E24" s="5"/>
      <c r="F24" s="5"/>
      <c r="L24" s="104">
        <f>'5. Allmän del o tilläggsdelar'!J56</f>
        <v>0</v>
      </c>
      <c r="M24" s="216">
        <f>L24/$H$13</f>
        <v>0</v>
      </c>
    </row>
    <row r="25" ht="12.75">
      <c r="M25" s="216"/>
    </row>
    <row r="26" spans="4:13" ht="12.75">
      <c r="D26" t="s">
        <v>395</v>
      </c>
      <c r="L26" s="104">
        <f>INDEX($AQ$74:$AQ$377,MATCH(F12,$F$74:$F$377,0),1,1)</f>
        <v>-115745.45612722076</v>
      </c>
      <c r="M26" s="216">
        <f>L26/$H$13</f>
        <v>-6.772304495185815</v>
      </c>
    </row>
    <row r="27" ht="12.75">
      <c r="M27" s="216"/>
    </row>
    <row r="28" spans="4:13" ht="12.75">
      <c r="D28" t="s">
        <v>396</v>
      </c>
      <c r="L28" s="104">
        <f>'6. Avdrag och tillägg'!I43</f>
        <v>2839292.8363217083</v>
      </c>
      <c r="M28" s="216">
        <f>L28/$H$13</f>
        <v>166.1279525084377</v>
      </c>
    </row>
    <row r="29" spans="4:13" ht="12.75">
      <c r="D29" s="86"/>
      <c r="E29" s="270" t="s">
        <v>397</v>
      </c>
      <c r="F29" s="270"/>
      <c r="G29" s="87"/>
      <c r="H29" s="87"/>
      <c r="I29" s="87"/>
      <c r="J29" s="87"/>
      <c r="K29" s="87"/>
      <c r="L29" s="87"/>
      <c r="M29" s="216"/>
    </row>
    <row r="30" spans="2:13" ht="12.75">
      <c r="B30" t="s">
        <v>9</v>
      </c>
      <c r="E30" s="5"/>
      <c r="F30" s="5"/>
      <c r="L30" s="85">
        <f>'6. Avdrag och tillägg'!I37</f>
        <v>31789.260000000002</v>
      </c>
      <c r="M30">
        <f>L30/H13</f>
        <v>1.86</v>
      </c>
    </row>
    <row r="31" ht="12.75">
      <c r="M31" s="216"/>
    </row>
    <row r="32" spans="4:13" ht="12.75">
      <c r="D32" s="5" t="s">
        <v>399</v>
      </c>
      <c r="E32" s="5"/>
      <c r="J32" s="220">
        <v>-3131.6</v>
      </c>
      <c r="K32" s="87" t="s">
        <v>400</v>
      </c>
      <c r="L32" s="104">
        <f>J32*H13</f>
        <v>-53522175.6</v>
      </c>
      <c r="M32" s="216">
        <f>L32/$H$13</f>
        <v>-3131.6</v>
      </c>
    </row>
    <row r="33" spans="2:13" ht="12.75">
      <c r="B33" s="63"/>
      <c r="C33" s="218"/>
      <c r="D33" s="218"/>
      <c r="E33" s="218"/>
      <c r="F33" s="218"/>
      <c r="G33" s="218"/>
      <c r="H33" s="218"/>
      <c r="I33" s="218"/>
      <c r="J33" s="218"/>
      <c r="K33" s="218"/>
      <c r="L33" s="218"/>
      <c r="M33" s="219"/>
    </row>
    <row r="34" spans="3:13" ht="12.75">
      <c r="C34" s="1" t="s">
        <v>401</v>
      </c>
      <c r="D34" s="1"/>
      <c r="E34" s="1"/>
      <c r="L34" s="78">
        <f>SUM(L18:L28)-L30+L32</f>
        <v>29998294.55189941</v>
      </c>
      <c r="M34" s="217">
        <f>L34/$H$13</f>
        <v>1755.210025855679</v>
      </c>
    </row>
    <row r="36" spans="3:13" ht="12.75">
      <c r="C36" s="5" t="s">
        <v>402</v>
      </c>
      <c r="D36" s="5"/>
      <c r="E36" s="5"/>
      <c r="L36" s="213">
        <f>INDEX(tasaus,MATCH(G12,kuntanimi,0),1,1)</f>
        <v>4628923.40073924</v>
      </c>
      <c r="M36" s="216">
        <f>L36/$H$13</f>
        <v>270.8398221718589</v>
      </c>
    </row>
    <row r="37" spans="2:13" ht="13.5" thickBot="1">
      <c r="B37" s="144"/>
      <c r="C37" s="144"/>
      <c r="D37" s="144"/>
      <c r="E37" s="144"/>
      <c r="F37" s="144"/>
      <c r="G37" s="144"/>
      <c r="H37" s="144"/>
      <c r="I37" s="144"/>
      <c r="J37" s="144"/>
      <c r="K37" s="144"/>
      <c r="L37" s="144"/>
      <c r="M37" s="221"/>
    </row>
    <row r="38" spans="2:13" ht="13.5" thickTop="1">
      <c r="B38" s="1" t="s">
        <v>403</v>
      </c>
      <c r="C38" s="1"/>
      <c r="D38" s="1"/>
      <c r="E38" s="1"/>
      <c r="L38" s="78">
        <f>L34+L36</f>
        <v>34627217.95263865</v>
      </c>
      <c r="M38" s="216">
        <f>L38/$H$13</f>
        <v>2026.0498480275378</v>
      </c>
    </row>
    <row r="39" ht="12.75">
      <c r="M39" s="216"/>
    </row>
    <row r="40" spans="2:13" ht="12.75">
      <c r="B40" s="287" t="s">
        <v>415</v>
      </c>
      <c r="C40" s="1"/>
      <c r="D40" s="1"/>
      <c r="E40" s="1"/>
      <c r="L40" s="107">
        <f>'9. UVM andra stasandelar'!K88</f>
        <v>-6224132.016</v>
      </c>
      <c r="M40" s="216">
        <f>L40/$H$13</f>
        <v>-364.176</v>
      </c>
    </row>
    <row r="42" spans="2:13" ht="12.75">
      <c r="B42" s="1" t="s">
        <v>404</v>
      </c>
      <c r="C42" s="5"/>
      <c r="D42" s="5"/>
      <c r="E42" s="5"/>
      <c r="K42" s="57"/>
      <c r="L42" s="238"/>
      <c r="M42" s="87" t="s">
        <v>416</v>
      </c>
    </row>
    <row r="44" spans="1:13" ht="12.75">
      <c r="A44" s="279" t="s">
        <v>405</v>
      </c>
      <c r="B44" s="108"/>
      <c r="C44" s="133"/>
      <c r="D44" s="133"/>
      <c r="E44" s="133"/>
      <c r="F44" s="108"/>
      <c r="G44" s="108"/>
      <c r="H44" s="108"/>
      <c r="I44" s="108"/>
      <c r="J44" s="108"/>
      <c r="K44" s="108"/>
      <c r="L44" s="222">
        <f>L38+L40+L42</f>
        <v>28403085.93663865</v>
      </c>
      <c r="M44" s="223">
        <f>L44/$H$13</f>
        <v>1661.8738480275379</v>
      </c>
    </row>
    <row r="45" ht="12.75">
      <c r="M45" s="216"/>
    </row>
    <row r="46" spans="2:13" ht="12.75">
      <c r="B46" s="1" t="s">
        <v>406</v>
      </c>
      <c r="C46" s="1"/>
      <c r="D46" s="1"/>
      <c r="E46" s="1"/>
      <c r="M46" s="216"/>
    </row>
    <row r="47" spans="6:13" ht="12.75">
      <c r="F47" s="5" t="s">
        <v>407</v>
      </c>
      <c r="L47" s="105">
        <f>'8. Hemkommunsersättningar'!H20</f>
        <v>0</v>
      </c>
      <c r="M47" s="216"/>
    </row>
    <row r="48" spans="6:13" ht="12.75">
      <c r="F48" s="5" t="s">
        <v>408</v>
      </c>
      <c r="L48" s="105">
        <f>-'8. Hemkommunsersättningar'!H16</f>
        <v>0</v>
      </c>
      <c r="M48" s="216"/>
    </row>
    <row r="50" spans="2:13" ht="12.75">
      <c r="B50" s="1" t="s">
        <v>409</v>
      </c>
      <c r="C50" s="1"/>
      <c r="D50" s="1"/>
      <c r="E50" s="1"/>
      <c r="L50" s="85">
        <f>L30</f>
        <v>31789.260000000002</v>
      </c>
      <c r="M50" s="216">
        <f>L50/$H$13</f>
        <v>1.86</v>
      </c>
    </row>
    <row r="52" spans="1:13" ht="12.75">
      <c r="A52" s="191" t="s">
        <v>410</v>
      </c>
      <c r="B52" s="227"/>
      <c r="C52" s="192"/>
      <c r="D52" s="192"/>
      <c r="E52" s="192"/>
      <c r="F52" s="227"/>
      <c r="G52" s="227"/>
      <c r="H52" s="227"/>
      <c r="I52" s="227"/>
      <c r="J52" s="227"/>
      <c r="K52" s="227"/>
      <c r="L52" s="228"/>
      <c r="M52" s="229"/>
    </row>
    <row r="53" spans="1:13" ht="12.75">
      <c r="A53" s="224"/>
      <c r="B53" s="237" t="s">
        <v>411</v>
      </c>
      <c r="C53" s="224"/>
      <c r="D53" s="224"/>
      <c r="E53" s="224"/>
      <c r="F53" s="225"/>
      <c r="G53" s="225"/>
      <c r="H53" s="225"/>
      <c r="I53" s="225"/>
      <c r="J53" s="225"/>
      <c r="K53" s="225"/>
      <c r="L53" s="257" t="s">
        <v>413</v>
      </c>
      <c r="M53" s="258" t="s">
        <v>414</v>
      </c>
    </row>
    <row r="54" spans="1:13" ht="12.75">
      <c r="A54" s="235"/>
      <c r="B54" s="237"/>
      <c r="C54" s="224"/>
      <c r="D54" s="224"/>
      <c r="E54" s="224"/>
      <c r="F54" s="225"/>
      <c r="G54" s="225"/>
      <c r="H54" s="225"/>
      <c r="I54" s="225"/>
      <c r="J54" s="225"/>
      <c r="K54" s="225"/>
      <c r="L54" s="226">
        <f>L38+L40+L47+L48+L50</f>
        <v>28434875.19663865</v>
      </c>
      <c r="M54" s="236">
        <f>L54/H13</f>
        <v>1663.733848027538</v>
      </c>
    </row>
    <row r="55" spans="1:13" ht="12.75">
      <c r="A55" s="232"/>
      <c r="B55" s="233" t="s">
        <v>412</v>
      </c>
      <c r="C55" s="234"/>
      <c r="D55" s="234"/>
      <c r="E55" s="234"/>
      <c r="F55" s="234"/>
      <c r="G55" s="234"/>
      <c r="H55" s="234"/>
      <c r="I55" s="234"/>
      <c r="J55" s="234"/>
      <c r="K55" s="234"/>
      <c r="L55" s="230">
        <f>(L38+L40+L47+L48+L50)/12</f>
        <v>2369572.933053221</v>
      </c>
      <c r="M55" s="231">
        <f>L55/H13</f>
        <v>138.64448733562818</v>
      </c>
    </row>
    <row r="73" spans="6:65" s="273" customFormat="1" ht="12.75">
      <c r="F73" s="273" t="s">
        <v>316</v>
      </c>
      <c r="G73" s="273" t="s">
        <v>317</v>
      </c>
      <c r="H73" s="273" t="s">
        <v>321</v>
      </c>
      <c r="I73" s="273" t="s">
        <v>322</v>
      </c>
      <c r="J73" s="273" t="s">
        <v>323</v>
      </c>
      <c r="K73" s="273" t="s">
        <v>324</v>
      </c>
      <c r="L73" s="273" t="s">
        <v>325</v>
      </c>
      <c r="M73" s="273" t="s">
        <v>326</v>
      </c>
      <c r="N73" s="273" t="s">
        <v>327</v>
      </c>
      <c r="O73" s="273" t="s">
        <v>328</v>
      </c>
      <c r="P73" s="273" t="s">
        <v>329</v>
      </c>
      <c r="Q73" s="273" t="s">
        <v>330</v>
      </c>
      <c r="R73" s="273" t="s">
        <v>331</v>
      </c>
      <c r="S73" s="273" t="s">
        <v>351</v>
      </c>
      <c r="T73" s="273" t="s">
        <v>318</v>
      </c>
      <c r="U73" s="273" t="s">
        <v>319</v>
      </c>
      <c r="V73" s="273" t="s">
        <v>320</v>
      </c>
      <c r="W73" s="273" t="s">
        <v>335</v>
      </c>
      <c r="X73" s="273" t="s">
        <v>336</v>
      </c>
      <c r="Y73" s="273" t="s">
        <v>337</v>
      </c>
      <c r="Z73" s="273" t="s">
        <v>340</v>
      </c>
      <c r="AA73" s="273" t="s">
        <v>338</v>
      </c>
      <c r="AB73" s="273" t="s">
        <v>339</v>
      </c>
      <c r="AC73" s="273" t="s">
        <v>341</v>
      </c>
      <c r="AD73" s="273" t="s">
        <v>342</v>
      </c>
      <c r="AE73" s="273" t="s">
        <v>343</v>
      </c>
      <c r="AF73" s="273" t="s">
        <v>344</v>
      </c>
      <c r="AG73" s="273" t="s">
        <v>345</v>
      </c>
      <c r="AH73" s="273" t="s">
        <v>346</v>
      </c>
      <c r="AI73" s="273" t="s">
        <v>332</v>
      </c>
      <c r="AJ73" s="273" t="s">
        <v>349</v>
      </c>
      <c r="AK73" s="273" t="s">
        <v>348</v>
      </c>
      <c r="AL73" s="273" t="s">
        <v>347</v>
      </c>
      <c r="AM73" s="273" t="s">
        <v>333</v>
      </c>
      <c r="AN73" s="273" t="s">
        <v>334</v>
      </c>
      <c r="AO73" s="273" t="s">
        <v>319</v>
      </c>
      <c r="AP73" s="273" t="s">
        <v>350</v>
      </c>
      <c r="AQ73" s="273" t="s">
        <v>354</v>
      </c>
      <c r="AR73" s="273" t="s">
        <v>355</v>
      </c>
      <c r="AS73" s="273" t="s">
        <v>356</v>
      </c>
      <c r="AT73" s="273" t="s">
        <v>357</v>
      </c>
      <c r="AU73" s="273" t="s">
        <v>358</v>
      </c>
      <c r="AV73" s="273" t="s">
        <v>359</v>
      </c>
      <c r="AW73" s="273" t="s">
        <v>360</v>
      </c>
      <c r="AX73" s="273" t="s">
        <v>361</v>
      </c>
      <c r="AY73" s="273" t="s">
        <v>362</v>
      </c>
      <c r="AZ73" s="273" t="s">
        <v>363</v>
      </c>
      <c r="BA73" s="273" t="s">
        <v>364</v>
      </c>
      <c r="BB73" s="273" t="s">
        <v>365</v>
      </c>
      <c r="BC73" s="273" t="s">
        <v>366</v>
      </c>
      <c r="BD73" s="273" t="s">
        <v>367</v>
      </c>
      <c r="BE73" s="273" t="s">
        <v>368</v>
      </c>
      <c r="BF73" s="273" t="s">
        <v>369</v>
      </c>
      <c r="BG73" s="273" t="s">
        <v>370</v>
      </c>
      <c r="BH73" s="273" t="s">
        <v>371</v>
      </c>
      <c r="BI73" s="273" t="s">
        <v>372</v>
      </c>
      <c r="BJ73" s="273" t="s">
        <v>373</v>
      </c>
      <c r="BK73" s="273" t="s">
        <v>379</v>
      </c>
      <c r="BL73" s="273" t="s">
        <v>380</v>
      </c>
      <c r="BM73"/>
    </row>
    <row r="74" spans="6:64" s="273" customFormat="1" ht="12.75">
      <c r="F74" s="273">
        <v>20</v>
      </c>
      <c r="G74" s="273" t="s">
        <v>10</v>
      </c>
      <c r="H74" s="273">
        <v>1518</v>
      </c>
      <c r="I74" s="273">
        <v>244</v>
      </c>
      <c r="J74" s="273">
        <v>1279</v>
      </c>
      <c r="K74" s="273">
        <v>626</v>
      </c>
      <c r="L74" s="273">
        <v>12463</v>
      </c>
      <c r="M74" s="273">
        <v>1617</v>
      </c>
      <c r="N74" s="273">
        <v>1063</v>
      </c>
      <c r="O74" s="273">
        <v>430</v>
      </c>
      <c r="P74" s="273">
        <v>17091</v>
      </c>
      <c r="Q74" s="273">
        <v>6</v>
      </c>
      <c r="R74" s="273">
        <v>29</v>
      </c>
      <c r="S74" s="273">
        <v>293.14</v>
      </c>
      <c r="T74" s="273">
        <v>58.303199836255715</v>
      </c>
      <c r="U74" s="273">
        <v>0</v>
      </c>
      <c r="V74" s="273">
        <v>0</v>
      </c>
      <c r="W74" s="273">
        <v>6845</v>
      </c>
      <c r="X74" s="273">
        <v>216</v>
      </c>
      <c r="Y74" s="273">
        <v>59</v>
      </c>
      <c r="Z74" s="273">
        <v>1.0083509779131397</v>
      </c>
      <c r="AA74" s="273">
        <v>33</v>
      </c>
      <c r="AB74" s="273">
        <v>33</v>
      </c>
      <c r="AC74" s="273">
        <v>1.2491558819734332</v>
      </c>
      <c r="AD74" s="273">
        <v>791</v>
      </c>
      <c r="AE74" s="273">
        <v>169</v>
      </c>
      <c r="AF74" s="273">
        <v>37</v>
      </c>
      <c r="AG74" s="273">
        <v>17</v>
      </c>
      <c r="AH74" s="273">
        <v>1014</v>
      </c>
      <c r="AI74" s="273">
        <v>1.1796630542951578</v>
      </c>
      <c r="AJ74" s="273">
        <v>8016</v>
      </c>
      <c r="AK74" s="273">
        <v>858</v>
      </c>
      <c r="AL74" s="273">
        <v>1.132467845698907</v>
      </c>
      <c r="AM74" s="273">
        <v>0.865377241596516</v>
      </c>
      <c r="AN74" s="273">
        <v>0</v>
      </c>
      <c r="AO74" s="273">
        <v>0</v>
      </c>
      <c r="AP74" s="273">
        <f aca="true" t="shared" si="0" ref="AP74:AP137">MAX(AN74,AO74)</f>
        <v>0</v>
      </c>
      <c r="AQ74" s="273">
        <v>-115745.45612722076</v>
      </c>
      <c r="AR74" s="273">
        <v>4628923.40073924</v>
      </c>
      <c r="AS74" s="273">
        <v>1</v>
      </c>
      <c r="AT74" s="273">
        <v>17091</v>
      </c>
      <c r="AU74" s="273">
        <v>0</v>
      </c>
      <c r="AV74" s="273">
        <v>0</v>
      </c>
      <c r="AW74" s="273">
        <v>0</v>
      </c>
      <c r="AX74" s="273">
        <v>0</v>
      </c>
      <c r="AY74" s="273">
        <v>293.14</v>
      </c>
      <c r="AZ74" s="273">
        <v>58.303199836255715</v>
      </c>
      <c r="BA74" s="273">
        <v>14716</v>
      </c>
      <c r="BB74" s="273">
        <v>0.8610379732022702</v>
      </c>
      <c r="BC74" s="273">
        <v>0</v>
      </c>
      <c r="BD74" s="273">
        <v>0</v>
      </c>
      <c r="BE74" s="273">
        <v>16837</v>
      </c>
      <c r="BF74" s="273">
        <v>17091</v>
      </c>
      <c r="BG74" s="273">
        <v>0.015085822890063551</v>
      </c>
      <c r="BH74" s="273">
        <v>0</v>
      </c>
      <c r="BI74" s="273">
        <v>0</v>
      </c>
      <c r="BJ74" s="273">
        <v>0</v>
      </c>
      <c r="BK74" s="273">
        <v>2811776.3263217085</v>
      </c>
      <c r="BL74" s="273">
        <v>5865.74</v>
      </c>
    </row>
    <row r="75" spans="6:64" s="273" customFormat="1" ht="12.75">
      <c r="F75" s="273">
        <v>5</v>
      </c>
      <c r="G75" s="273" t="s">
        <v>11</v>
      </c>
      <c r="H75" s="273">
        <v>868</v>
      </c>
      <c r="I75" s="273">
        <v>116</v>
      </c>
      <c r="J75" s="273">
        <v>783</v>
      </c>
      <c r="K75" s="273">
        <v>421</v>
      </c>
      <c r="L75" s="273">
        <v>7268</v>
      </c>
      <c r="M75" s="273">
        <v>1063</v>
      </c>
      <c r="N75" s="273">
        <v>832</v>
      </c>
      <c r="O75" s="273">
        <v>296</v>
      </c>
      <c r="P75" s="273">
        <v>10327</v>
      </c>
      <c r="Q75" s="273">
        <v>0</v>
      </c>
      <c r="R75" s="273">
        <v>9</v>
      </c>
      <c r="S75" s="273">
        <v>1008.75</v>
      </c>
      <c r="T75" s="273">
        <v>10.237422552664189</v>
      </c>
      <c r="U75" s="273">
        <v>0</v>
      </c>
      <c r="V75" s="273">
        <v>0</v>
      </c>
      <c r="W75" s="273">
        <v>3747</v>
      </c>
      <c r="X75" s="273">
        <v>460</v>
      </c>
      <c r="Y75" s="273">
        <v>67</v>
      </c>
      <c r="Z75" s="273">
        <v>0.9028009041057593</v>
      </c>
      <c r="AA75" s="273">
        <v>19</v>
      </c>
      <c r="AB75" s="273">
        <v>19</v>
      </c>
      <c r="AC75" s="273">
        <v>1.1902812585935396</v>
      </c>
      <c r="AD75" s="273">
        <v>708</v>
      </c>
      <c r="AE75" s="273">
        <v>82</v>
      </c>
      <c r="AF75" s="273">
        <v>31</v>
      </c>
      <c r="AG75" s="273">
        <v>3</v>
      </c>
      <c r="AH75" s="273">
        <v>824</v>
      </c>
      <c r="AI75" s="273">
        <v>1.5865016637444558</v>
      </c>
      <c r="AJ75" s="273">
        <v>4399</v>
      </c>
      <c r="AK75" s="273">
        <v>380</v>
      </c>
      <c r="AL75" s="273">
        <v>0.9139573614226074</v>
      </c>
      <c r="AM75" s="273">
        <v>1.39421093804533</v>
      </c>
      <c r="AN75" s="273">
        <v>0</v>
      </c>
      <c r="AO75" s="273">
        <v>0</v>
      </c>
      <c r="AP75" s="273">
        <f t="shared" si="0"/>
        <v>0</v>
      </c>
      <c r="AQ75" s="273">
        <v>191146.63372095674</v>
      </c>
      <c r="AR75" s="273">
        <v>8466933.611443903</v>
      </c>
      <c r="AS75" s="273">
        <v>1</v>
      </c>
      <c r="AT75" s="273">
        <v>10327</v>
      </c>
      <c r="AU75" s="273">
        <v>0</v>
      </c>
      <c r="AV75" s="273">
        <v>0</v>
      </c>
      <c r="AW75" s="273">
        <v>0</v>
      </c>
      <c r="AX75" s="273">
        <v>0</v>
      </c>
      <c r="AY75" s="273">
        <v>1008.75</v>
      </c>
      <c r="AZ75" s="273">
        <v>10.237422552664189</v>
      </c>
      <c r="BA75" s="273">
        <v>5940</v>
      </c>
      <c r="BB75" s="273">
        <v>0.5751912462477002</v>
      </c>
      <c r="BC75" s="273">
        <v>0</v>
      </c>
      <c r="BD75" s="273">
        <v>0</v>
      </c>
      <c r="BE75" s="273">
        <v>10634</v>
      </c>
      <c r="BF75" s="273">
        <v>10327</v>
      </c>
      <c r="BG75" s="273">
        <v>-0.02886966334399097</v>
      </c>
      <c r="BH75" s="273">
        <v>0</v>
      </c>
      <c r="BI75" s="273">
        <v>0</v>
      </c>
      <c r="BJ75" s="273">
        <v>0</v>
      </c>
      <c r="BK75" s="273">
        <v>2015082.834271116</v>
      </c>
      <c r="BL75" s="273">
        <v>6781.48</v>
      </c>
    </row>
    <row r="76" spans="6:64" s="273" customFormat="1" ht="12.75">
      <c r="F76" s="273">
        <v>9</v>
      </c>
      <c r="G76" s="273" t="s">
        <v>12</v>
      </c>
      <c r="H76" s="273">
        <v>251</v>
      </c>
      <c r="I76" s="273">
        <v>35</v>
      </c>
      <c r="J76" s="273">
        <v>231</v>
      </c>
      <c r="K76" s="273">
        <v>122</v>
      </c>
      <c r="L76" s="273">
        <v>1962</v>
      </c>
      <c r="M76" s="273">
        <v>243</v>
      </c>
      <c r="N76" s="273">
        <v>232</v>
      </c>
      <c r="O76" s="273">
        <v>62</v>
      </c>
      <c r="P76" s="273">
        <v>2750</v>
      </c>
      <c r="Q76" s="273">
        <v>1</v>
      </c>
      <c r="R76" s="273">
        <v>2</v>
      </c>
      <c r="S76" s="273">
        <v>251.37</v>
      </c>
      <c r="T76" s="273">
        <v>10.940048534033496</v>
      </c>
      <c r="U76" s="273">
        <v>0</v>
      </c>
      <c r="V76" s="273">
        <v>0</v>
      </c>
      <c r="W76" s="273">
        <v>1012</v>
      </c>
      <c r="X76" s="273">
        <v>205</v>
      </c>
      <c r="Y76" s="273">
        <v>17</v>
      </c>
      <c r="Z76" s="273">
        <v>0.8200991948391296</v>
      </c>
      <c r="AA76" s="273">
        <v>3</v>
      </c>
      <c r="AB76" s="273">
        <v>2</v>
      </c>
      <c r="AC76" s="273">
        <v>0.47050849980843956</v>
      </c>
      <c r="AD76" s="273">
        <v>176</v>
      </c>
      <c r="AE76" s="273">
        <v>22</v>
      </c>
      <c r="AF76" s="273">
        <v>6</v>
      </c>
      <c r="AG76" s="273">
        <v>0</v>
      </c>
      <c r="AH76" s="273">
        <v>204</v>
      </c>
      <c r="AI76" s="273">
        <v>1.474976057821604</v>
      </c>
      <c r="AJ76" s="273">
        <v>1177</v>
      </c>
      <c r="AK76" s="273">
        <v>110</v>
      </c>
      <c r="AL76" s="273">
        <v>0.9888092555086202</v>
      </c>
      <c r="AM76" s="273">
        <v>1.34276914992137</v>
      </c>
      <c r="AN76" s="273">
        <v>0</v>
      </c>
      <c r="AO76" s="273">
        <v>0</v>
      </c>
      <c r="AP76" s="273">
        <f t="shared" si="0"/>
        <v>0</v>
      </c>
      <c r="AQ76" s="273">
        <v>-17372.005542550236</v>
      </c>
      <c r="AR76" s="273">
        <v>2622601.2017428568</v>
      </c>
      <c r="AS76" s="273">
        <v>1</v>
      </c>
      <c r="AT76" s="273">
        <v>2750</v>
      </c>
      <c r="AU76" s="273">
        <v>0</v>
      </c>
      <c r="AV76" s="273">
        <v>0</v>
      </c>
      <c r="AW76" s="273">
        <v>0</v>
      </c>
      <c r="AX76" s="273">
        <v>0</v>
      </c>
      <c r="AY76" s="273">
        <v>251.37</v>
      </c>
      <c r="AZ76" s="273">
        <v>10.940048534033496</v>
      </c>
      <c r="BA76" s="273">
        <v>1426</v>
      </c>
      <c r="BB76" s="273">
        <v>0.5185454545454545</v>
      </c>
      <c r="BC76" s="273">
        <v>0</v>
      </c>
      <c r="BD76" s="273">
        <v>0</v>
      </c>
      <c r="BE76" s="273">
        <v>2759</v>
      </c>
      <c r="BF76" s="273">
        <v>2750</v>
      </c>
      <c r="BG76" s="273">
        <v>-0.0032620514679231605</v>
      </c>
      <c r="BH76" s="273">
        <v>0</v>
      </c>
      <c r="BI76" s="273">
        <v>0</v>
      </c>
      <c r="BJ76" s="273">
        <v>0</v>
      </c>
      <c r="BK76" s="273">
        <v>575046.756265461</v>
      </c>
      <c r="BL76" s="273">
        <v>6736.81</v>
      </c>
    </row>
    <row r="77" spans="6:64" s="273" customFormat="1" ht="12.75">
      <c r="F77" s="273">
        <v>10</v>
      </c>
      <c r="G77" s="273" t="s">
        <v>13</v>
      </c>
      <c r="H77" s="273">
        <v>1013</v>
      </c>
      <c r="I77" s="273">
        <v>172</v>
      </c>
      <c r="J77" s="273">
        <v>878</v>
      </c>
      <c r="K77" s="273">
        <v>469</v>
      </c>
      <c r="L77" s="273">
        <v>8599</v>
      </c>
      <c r="M77" s="273">
        <v>1374</v>
      </c>
      <c r="N77" s="273">
        <v>996</v>
      </c>
      <c r="O77" s="273">
        <v>403</v>
      </c>
      <c r="P77" s="273">
        <v>12385</v>
      </c>
      <c r="Q77" s="273">
        <v>0</v>
      </c>
      <c r="R77" s="273">
        <v>7</v>
      </c>
      <c r="S77" s="273">
        <v>1088.17</v>
      </c>
      <c r="T77" s="273">
        <v>11.381493700432836</v>
      </c>
      <c r="U77" s="273">
        <v>0</v>
      </c>
      <c r="V77" s="273">
        <v>0</v>
      </c>
      <c r="W77" s="273">
        <v>4768</v>
      </c>
      <c r="X77" s="273">
        <v>572</v>
      </c>
      <c r="Y77" s="273">
        <v>74</v>
      </c>
      <c r="Z77" s="273">
        <v>0.9082210166140341</v>
      </c>
      <c r="AA77" s="273">
        <v>11</v>
      </c>
      <c r="AB77" s="273">
        <v>11</v>
      </c>
      <c r="AC77" s="273">
        <v>0.5746016196691682</v>
      </c>
      <c r="AD77" s="273">
        <v>790</v>
      </c>
      <c r="AE77" s="273">
        <v>95</v>
      </c>
      <c r="AF77" s="273">
        <v>35</v>
      </c>
      <c r="AG77" s="273">
        <v>5</v>
      </c>
      <c r="AH77" s="273">
        <v>925</v>
      </c>
      <c r="AI77" s="273">
        <v>1.4850231332508905</v>
      </c>
      <c r="AJ77" s="273">
        <v>5441</v>
      </c>
      <c r="AK77" s="273">
        <v>419</v>
      </c>
      <c r="AL77" s="273">
        <v>0.8147635609670644</v>
      </c>
      <c r="AM77" s="273">
        <v>1.2812361052625054</v>
      </c>
      <c r="AN77" s="273">
        <v>0</v>
      </c>
      <c r="AO77" s="273">
        <v>0</v>
      </c>
      <c r="AP77" s="273">
        <f t="shared" si="0"/>
        <v>0</v>
      </c>
      <c r="AQ77" s="273">
        <v>-158146.872291727</v>
      </c>
      <c r="AR77" s="273">
        <v>10589857.310487766</v>
      </c>
      <c r="AS77" s="273">
        <v>1</v>
      </c>
      <c r="AT77" s="273">
        <v>12385</v>
      </c>
      <c r="AU77" s="273">
        <v>0</v>
      </c>
      <c r="AV77" s="273">
        <v>0</v>
      </c>
      <c r="AW77" s="273">
        <v>0</v>
      </c>
      <c r="AX77" s="273">
        <v>0</v>
      </c>
      <c r="AY77" s="273">
        <v>1088.17</v>
      </c>
      <c r="AZ77" s="273">
        <v>11.381493700432836</v>
      </c>
      <c r="BA77" s="273">
        <v>7220</v>
      </c>
      <c r="BB77" s="273">
        <v>0.5829632620104965</v>
      </c>
      <c r="BC77" s="273">
        <v>0</v>
      </c>
      <c r="BD77" s="273">
        <v>0</v>
      </c>
      <c r="BE77" s="273">
        <v>12706</v>
      </c>
      <c r="BF77" s="273">
        <v>12385</v>
      </c>
      <c r="BG77" s="273">
        <v>-0.02526365496615772</v>
      </c>
      <c r="BH77" s="273">
        <v>0</v>
      </c>
      <c r="BI77" s="273">
        <v>1</v>
      </c>
      <c r="BJ77" s="273">
        <v>8.074283407347598E-05</v>
      </c>
      <c r="BK77" s="273">
        <v>2619691.5760117006</v>
      </c>
      <c r="BL77" s="273">
        <v>6706.39</v>
      </c>
    </row>
    <row r="78" spans="6:64" s="273" customFormat="1" ht="12.75">
      <c r="F78" s="273">
        <v>16</v>
      </c>
      <c r="G78" s="273" t="s">
        <v>14</v>
      </c>
      <c r="H78" s="273">
        <v>539</v>
      </c>
      <c r="I78" s="273">
        <v>84</v>
      </c>
      <c r="J78" s="273">
        <v>510</v>
      </c>
      <c r="K78" s="273">
        <v>293</v>
      </c>
      <c r="L78" s="273">
        <v>5837</v>
      </c>
      <c r="M78" s="273">
        <v>1196</v>
      </c>
      <c r="N78" s="273">
        <v>687</v>
      </c>
      <c r="O78" s="273">
        <v>239</v>
      </c>
      <c r="P78" s="273">
        <v>8498</v>
      </c>
      <c r="Q78" s="273">
        <v>0</v>
      </c>
      <c r="R78" s="273">
        <v>7</v>
      </c>
      <c r="S78" s="273">
        <v>563.37</v>
      </c>
      <c r="T78" s="273">
        <v>15.08422528711149</v>
      </c>
      <c r="U78" s="273">
        <v>1</v>
      </c>
      <c r="V78" s="273">
        <v>0</v>
      </c>
      <c r="W78" s="273">
        <v>3302</v>
      </c>
      <c r="X78" s="273">
        <v>299</v>
      </c>
      <c r="Y78" s="273">
        <v>57</v>
      </c>
      <c r="Z78" s="273">
        <v>0.9372932303138215</v>
      </c>
      <c r="AA78" s="273">
        <v>17</v>
      </c>
      <c r="AB78" s="273">
        <v>17</v>
      </c>
      <c r="AC78" s="273">
        <v>1.2942028928009266</v>
      </c>
      <c r="AD78" s="273">
        <v>438</v>
      </c>
      <c r="AE78" s="273">
        <v>31</v>
      </c>
      <c r="AF78" s="273">
        <v>11</v>
      </c>
      <c r="AG78" s="273">
        <v>0</v>
      </c>
      <c r="AH78" s="273">
        <v>480</v>
      </c>
      <c r="AI78" s="273">
        <v>1.1230833992799443</v>
      </c>
      <c r="AJ78" s="273">
        <v>3741</v>
      </c>
      <c r="AK78" s="273">
        <v>321</v>
      </c>
      <c r="AL78" s="273">
        <v>0.9078490109316915</v>
      </c>
      <c r="AM78" s="273">
        <v>0.927452566607931</v>
      </c>
      <c r="AN78" s="273">
        <v>0</v>
      </c>
      <c r="AO78" s="273">
        <v>0</v>
      </c>
      <c r="AP78" s="273">
        <f t="shared" si="0"/>
        <v>0</v>
      </c>
      <c r="AQ78" s="273">
        <v>98970.00168253854</v>
      </c>
      <c r="AR78" s="273">
        <v>2207478.780044993</v>
      </c>
      <c r="AS78" s="273">
        <v>1</v>
      </c>
      <c r="AT78" s="273">
        <v>8498</v>
      </c>
      <c r="AU78" s="273">
        <v>1</v>
      </c>
      <c r="AV78" s="273">
        <v>529</v>
      </c>
      <c r="AW78" s="273">
        <v>0.0622499411626265</v>
      </c>
      <c r="AX78" s="273">
        <v>0</v>
      </c>
      <c r="AY78" s="273">
        <v>563.37</v>
      </c>
      <c r="AZ78" s="273">
        <v>15.08422528711149</v>
      </c>
      <c r="BA78" s="273">
        <v>5270</v>
      </c>
      <c r="BB78" s="273">
        <v>0.6201459166862792</v>
      </c>
      <c r="BC78" s="273">
        <v>0</v>
      </c>
      <c r="BD78" s="273">
        <v>0</v>
      </c>
      <c r="BE78" s="273">
        <v>8604</v>
      </c>
      <c r="BF78" s="273">
        <v>8498</v>
      </c>
      <c r="BG78" s="273">
        <v>-0.012319851231985124</v>
      </c>
      <c r="BH78" s="273">
        <v>0</v>
      </c>
      <c r="BI78" s="273">
        <v>2</v>
      </c>
      <c r="BJ78" s="273">
        <v>0.0002353494939985879</v>
      </c>
      <c r="BK78" s="273">
        <v>1690264.6347372634</v>
      </c>
      <c r="BL78" s="273">
        <v>6520.08</v>
      </c>
    </row>
    <row r="79" spans="6:64" s="273" customFormat="1" ht="12.75">
      <c r="F79" s="273">
        <v>18</v>
      </c>
      <c r="G79" s="273" t="s">
        <v>15</v>
      </c>
      <c r="H79" s="273">
        <v>451</v>
      </c>
      <c r="I79" s="273">
        <v>63</v>
      </c>
      <c r="J79" s="273">
        <v>429</v>
      </c>
      <c r="K79" s="273">
        <v>201</v>
      </c>
      <c r="L79" s="273">
        <v>3748</v>
      </c>
      <c r="M79" s="273">
        <v>403</v>
      </c>
      <c r="N79" s="273">
        <v>216</v>
      </c>
      <c r="O79" s="273">
        <v>93</v>
      </c>
      <c r="P79" s="273">
        <v>4911</v>
      </c>
      <c r="Q79" s="273">
        <v>12</v>
      </c>
      <c r="R79" s="273">
        <v>8</v>
      </c>
      <c r="S79" s="273">
        <v>212.42</v>
      </c>
      <c r="T79" s="273">
        <v>23.119291968741173</v>
      </c>
      <c r="U79" s="273">
        <v>0</v>
      </c>
      <c r="V79" s="273">
        <v>0</v>
      </c>
      <c r="W79" s="273">
        <v>2268</v>
      </c>
      <c r="X79" s="273">
        <v>136</v>
      </c>
      <c r="Y79" s="273">
        <v>23</v>
      </c>
      <c r="Z79" s="273">
        <v>0.976907258019508</v>
      </c>
      <c r="AA79" s="273">
        <v>6</v>
      </c>
      <c r="AB79" s="273">
        <v>6</v>
      </c>
      <c r="AC79" s="273">
        <v>0.7904082922866273</v>
      </c>
      <c r="AD79" s="273">
        <v>136</v>
      </c>
      <c r="AE79" s="273">
        <v>22</v>
      </c>
      <c r="AF79" s="273">
        <v>8</v>
      </c>
      <c r="AG79" s="273">
        <v>0</v>
      </c>
      <c r="AH79" s="273">
        <v>166</v>
      </c>
      <c r="AI79" s="273">
        <v>0.6720872415221952</v>
      </c>
      <c r="AJ79" s="273">
        <v>2467</v>
      </c>
      <c r="AK79" s="273">
        <v>162</v>
      </c>
      <c r="AL79" s="273">
        <v>0.6947717728004226</v>
      </c>
      <c r="AM79" s="273">
        <v>0.664732373090221</v>
      </c>
      <c r="AN79" s="273">
        <v>0</v>
      </c>
      <c r="AO79" s="273">
        <v>0</v>
      </c>
      <c r="AP79" s="273">
        <f t="shared" si="0"/>
        <v>0</v>
      </c>
      <c r="AQ79" s="273">
        <v>113498.53809232544</v>
      </c>
      <c r="AR79" s="273">
        <v>329365.41272631625</v>
      </c>
      <c r="AS79" s="273">
        <v>1</v>
      </c>
      <c r="AT79" s="273">
        <v>4911</v>
      </c>
      <c r="AU79" s="273">
        <v>0</v>
      </c>
      <c r="AV79" s="273">
        <v>0</v>
      </c>
      <c r="AW79" s="273">
        <v>0</v>
      </c>
      <c r="AX79" s="273">
        <v>0</v>
      </c>
      <c r="AY79" s="273">
        <v>212.42</v>
      </c>
      <c r="AZ79" s="273">
        <v>23.119291968741173</v>
      </c>
      <c r="BA79" s="273">
        <v>2565</v>
      </c>
      <c r="BB79" s="273">
        <v>0.5222968845448992</v>
      </c>
      <c r="BC79" s="273">
        <v>0</v>
      </c>
      <c r="BD79" s="273">
        <v>0</v>
      </c>
      <c r="BE79" s="273">
        <v>4761</v>
      </c>
      <c r="BF79" s="273">
        <v>4911</v>
      </c>
      <c r="BG79" s="273">
        <v>0.0315059861373661</v>
      </c>
      <c r="BH79" s="273">
        <v>0</v>
      </c>
      <c r="BI79" s="273">
        <v>0</v>
      </c>
      <c r="BJ79" s="273">
        <v>0</v>
      </c>
      <c r="BK79" s="273">
        <v>809656.1257876509</v>
      </c>
      <c r="BL79" s="273">
        <v>6249.84</v>
      </c>
    </row>
    <row r="80" spans="6:64" s="273" customFormat="1" ht="12.75">
      <c r="F80" s="273">
        <v>19</v>
      </c>
      <c r="G80" s="273" t="s">
        <v>16</v>
      </c>
      <c r="H80" s="273">
        <v>380</v>
      </c>
      <c r="I80" s="273">
        <v>60</v>
      </c>
      <c r="J80" s="273">
        <v>346</v>
      </c>
      <c r="K80" s="273">
        <v>164</v>
      </c>
      <c r="L80" s="273">
        <v>3022</v>
      </c>
      <c r="M80" s="273">
        <v>331</v>
      </c>
      <c r="N80" s="273">
        <v>175</v>
      </c>
      <c r="O80" s="273">
        <v>67</v>
      </c>
      <c r="P80" s="273">
        <v>3975</v>
      </c>
      <c r="Q80" s="273">
        <v>4</v>
      </c>
      <c r="R80" s="273">
        <v>15</v>
      </c>
      <c r="S80" s="273">
        <v>94.99</v>
      </c>
      <c r="T80" s="273">
        <v>41.8465101589641</v>
      </c>
      <c r="U80" s="273">
        <v>0</v>
      </c>
      <c r="V80" s="273">
        <v>0</v>
      </c>
      <c r="W80" s="273">
        <v>1767</v>
      </c>
      <c r="X80" s="273">
        <v>81</v>
      </c>
      <c r="Y80" s="273">
        <v>16</v>
      </c>
      <c r="Z80" s="273">
        <v>0.9928867803155764</v>
      </c>
      <c r="AA80" s="273">
        <v>2</v>
      </c>
      <c r="AB80" s="273">
        <v>2</v>
      </c>
      <c r="AC80" s="273">
        <v>0.32550902502470663</v>
      </c>
      <c r="AD80" s="273">
        <v>150</v>
      </c>
      <c r="AE80" s="273">
        <v>32</v>
      </c>
      <c r="AF80" s="273">
        <v>5</v>
      </c>
      <c r="AG80" s="273">
        <v>3</v>
      </c>
      <c r="AH80" s="273">
        <v>190</v>
      </c>
      <c r="AI80" s="273">
        <v>0.9503946111873081</v>
      </c>
      <c r="AJ80" s="273">
        <v>1948</v>
      </c>
      <c r="AK80" s="273">
        <v>136</v>
      </c>
      <c r="AL80" s="273">
        <v>0.738662848365577</v>
      </c>
      <c r="AM80" s="273">
        <v>0.877748858721042</v>
      </c>
      <c r="AN80" s="273">
        <v>0</v>
      </c>
      <c r="AO80" s="273">
        <v>0</v>
      </c>
      <c r="AP80" s="273">
        <f t="shared" si="0"/>
        <v>0</v>
      </c>
      <c r="AQ80" s="273">
        <v>-55272.213284444064</v>
      </c>
      <c r="AR80" s="273">
        <v>992126.3278666657</v>
      </c>
      <c r="AS80" s="273">
        <v>0</v>
      </c>
      <c r="AT80" s="273">
        <v>3975</v>
      </c>
      <c r="AU80" s="273">
        <v>0</v>
      </c>
      <c r="AV80" s="273">
        <v>0</v>
      </c>
      <c r="AW80" s="273">
        <v>0</v>
      </c>
      <c r="AX80" s="273">
        <v>0</v>
      </c>
      <c r="AY80" s="273">
        <v>94.99</v>
      </c>
      <c r="AZ80" s="273">
        <v>41.8465101589641</v>
      </c>
      <c r="BA80" s="273">
        <v>2672</v>
      </c>
      <c r="BB80" s="273">
        <v>0.6722012578616352</v>
      </c>
      <c r="BC80" s="273">
        <v>0</v>
      </c>
      <c r="BD80" s="273">
        <v>0</v>
      </c>
      <c r="BE80" s="273">
        <v>3852</v>
      </c>
      <c r="BF80" s="273">
        <v>3975</v>
      </c>
      <c r="BG80" s="273">
        <v>0.031931464174454825</v>
      </c>
      <c r="BH80" s="273">
        <v>0</v>
      </c>
      <c r="BI80" s="273">
        <v>1</v>
      </c>
      <c r="BJ80" s="273">
        <v>0.00025157232704402514</v>
      </c>
      <c r="BK80" s="273">
        <v>543397.0344519963</v>
      </c>
      <c r="BL80" s="273">
        <v>5886.52</v>
      </c>
    </row>
    <row r="81" spans="6:64" s="273" customFormat="1" ht="12.75">
      <c r="F81" s="273">
        <v>46</v>
      </c>
      <c r="G81" s="273" t="s">
        <v>17</v>
      </c>
      <c r="H81" s="273">
        <v>83</v>
      </c>
      <c r="I81" s="273">
        <v>11</v>
      </c>
      <c r="J81" s="273">
        <v>85</v>
      </c>
      <c r="K81" s="273">
        <v>51</v>
      </c>
      <c r="L81" s="273">
        <v>1015</v>
      </c>
      <c r="M81" s="273">
        <v>231</v>
      </c>
      <c r="N81" s="273">
        <v>171</v>
      </c>
      <c r="O81" s="273">
        <v>66</v>
      </c>
      <c r="P81" s="273">
        <v>1566</v>
      </c>
      <c r="Q81" s="273">
        <v>0</v>
      </c>
      <c r="R81" s="273">
        <v>5</v>
      </c>
      <c r="S81" s="273">
        <v>305.84</v>
      </c>
      <c r="T81" s="273">
        <v>5.120324352602668</v>
      </c>
      <c r="U81" s="273">
        <v>2</v>
      </c>
      <c r="V81" s="273">
        <v>0</v>
      </c>
      <c r="W81" s="273">
        <v>556</v>
      </c>
      <c r="X81" s="273">
        <v>128</v>
      </c>
      <c r="Y81" s="273">
        <v>11</v>
      </c>
      <c r="Z81" s="273">
        <v>0.7879180871935434</v>
      </c>
      <c r="AA81" s="273">
        <v>1</v>
      </c>
      <c r="AB81" s="273">
        <v>2</v>
      </c>
      <c r="AC81" s="273">
        <v>0.82624417271597</v>
      </c>
      <c r="AD81" s="273">
        <v>119</v>
      </c>
      <c r="AE81" s="273">
        <v>7</v>
      </c>
      <c r="AG81" s="273">
        <v>0</v>
      </c>
      <c r="AH81" s="273">
        <v>126</v>
      </c>
      <c r="AI81" s="273">
        <v>1.599802181263572</v>
      </c>
      <c r="AJ81" s="273">
        <v>664</v>
      </c>
      <c r="AK81" s="273">
        <v>97</v>
      </c>
      <c r="AL81" s="273">
        <v>1.5456101299584293</v>
      </c>
      <c r="AM81" s="273">
        <v>1.01966943742533</v>
      </c>
      <c r="AN81" s="273">
        <v>0</v>
      </c>
      <c r="AO81" s="273">
        <v>0</v>
      </c>
      <c r="AP81" s="273">
        <f t="shared" si="0"/>
        <v>0</v>
      </c>
      <c r="AQ81" s="273">
        <v>129093.88504570909</v>
      </c>
      <c r="AR81" s="273">
        <v>1152595.098162025</v>
      </c>
      <c r="AS81" s="273">
        <v>1</v>
      </c>
      <c r="AT81" s="273">
        <v>1566</v>
      </c>
      <c r="AU81" s="273">
        <v>2</v>
      </c>
      <c r="AV81" s="273">
        <v>0</v>
      </c>
      <c r="AW81" s="273">
        <v>0</v>
      </c>
      <c r="AX81" s="273">
        <v>0.11358333333333333</v>
      </c>
      <c r="AY81" s="273">
        <v>305.84</v>
      </c>
      <c r="AZ81" s="273">
        <v>5.120324352602668</v>
      </c>
      <c r="BA81" s="273">
        <v>661</v>
      </c>
      <c r="BB81" s="273">
        <v>0.4220945083014049</v>
      </c>
      <c r="BC81" s="273">
        <v>0</v>
      </c>
      <c r="BD81" s="273">
        <v>0</v>
      </c>
      <c r="BE81" s="273">
        <v>1651</v>
      </c>
      <c r="BF81" s="273">
        <v>1566</v>
      </c>
      <c r="BG81" s="273">
        <v>-0.0514839491217444</v>
      </c>
      <c r="BH81" s="273">
        <v>0</v>
      </c>
      <c r="BI81" s="273">
        <v>0</v>
      </c>
      <c r="BJ81" s="273">
        <v>0</v>
      </c>
      <c r="BK81" s="273">
        <v>391860.66853526887</v>
      </c>
      <c r="BL81" s="273">
        <v>7681.64</v>
      </c>
    </row>
    <row r="82" spans="6:64" s="273" customFormat="1" ht="12.75">
      <c r="F82" s="273">
        <v>47</v>
      </c>
      <c r="G82" s="273" t="s">
        <v>18</v>
      </c>
      <c r="H82" s="273">
        <v>118</v>
      </c>
      <c r="I82" s="273">
        <v>13</v>
      </c>
      <c r="J82" s="273">
        <v>85</v>
      </c>
      <c r="K82" s="273">
        <v>56</v>
      </c>
      <c r="L82" s="273">
        <v>1397</v>
      </c>
      <c r="M82" s="273">
        <v>222</v>
      </c>
      <c r="N82" s="273">
        <v>122</v>
      </c>
      <c r="O82" s="273">
        <v>34</v>
      </c>
      <c r="P82" s="273">
        <v>1893</v>
      </c>
      <c r="Q82" s="273">
        <v>0</v>
      </c>
      <c r="R82" s="273">
        <v>2</v>
      </c>
      <c r="S82" s="273">
        <v>7945.54</v>
      </c>
      <c r="T82" s="273">
        <v>0.2382468655371441</v>
      </c>
      <c r="U82" s="273">
        <v>0</v>
      </c>
      <c r="V82" s="273">
        <v>0</v>
      </c>
      <c r="W82" s="273">
        <v>679</v>
      </c>
      <c r="X82" s="273">
        <v>73</v>
      </c>
      <c r="Y82" s="273">
        <v>19</v>
      </c>
      <c r="Z82" s="273">
        <v>0.908213877629082</v>
      </c>
      <c r="AA82" s="273">
        <v>0</v>
      </c>
      <c r="AB82" s="273">
        <v>2</v>
      </c>
      <c r="AC82" s="273">
        <v>0.6835173663355567</v>
      </c>
      <c r="AD82" s="273">
        <v>138</v>
      </c>
      <c r="AE82" s="273">
        <v>16</v>
      </c>
      <c r="AF82" s="273">
        <v>3</v>
      </c>
      <c r="AG82" s="273">
        <v>0</v>
      </c>
      <c r="AH82" s="273">
        <v>157</v>
      </c>
      <c r="AI82" s="273">
        <v>1.6490602968741328</v>
      </c>
      <c r="AJ82" s="273">
        <v>884</v>
      </c>
      <c r="AK82" s="273">
        <v>168</v>
      </c>
      <c r="AL82" s="273">
        <v>2.0107279612016917</v>
      </c>
      <c r="AM82" s="273">
        <v>1.11207726613612</v>
      </c>
      <c r="AN82" s="273">
        <v>0.17</v>
      </c>
      <c r="AO82" s="273">
        <v>0</v>
      </c>
      <c r="AP82" s="273">
        <f t="shared" si="0"/>
        <v>0.17</v>
      </c>
      <c r="AQ82" s="273">
        <v>358000.4534871001</v>
      </c>
      <c r="AR82" s="273">
        <v>1429080.0860146338</v>
      </c>
      <c r="AS82" s="273">
        <v>0</v>
      </c>
      <c r="AT82" s="273">
        <v>1893</v>
      </c>
      <c r="AU82" s="273">
        <v>0</v>
      </c>
      <c r="AV82" s="273">
        <v>0</v>
      </c>
      <c r="AW82" s="273">
        <v>0</v>
      </c>
      <c r="AX82" s="273">
        <v>1.8982833333333333</v>
      </c>
      <c r="AY82" s="273">
        <v>7945.54</v>
      </c>
      <c r="AZ82" s="273">
        <v>0.2382468655371441</v>
      </c>
      <c r="BA82" s="273">
        <v>558</v>
      </c>
      <c r="BB82" s="273">
        <v>0.294770206022187</v>
      </c>
      <c r="BC82" s="273">
        <v>0</v>
      </c>
      <c r="BD82" s="273">
        <v>1</v>
      </c>
      <c r="BE82" s="273">
        <v>1915</v>
      </c>
      <c r="BF82" s="273">
        <v>1893</v>
      </c>
      <c r="BG82" s="273">
        <v>-0.011488250652741514</v>
      </c>
      <c r="BH82" s="273">
        <v>0</v>
      </c>
      <c r="BI82" s="273">
        <v>198</v>
      </c>
      <c r="BJ82" s="273">
        <v>0.1045958795562599</v>
      </c>
      <c r="BK82" s="273">
        <v>511552.32941707154</v>
      </c>
      <c r="BL82" s="273">
        <v>9871.3</v>
      </c>
    </row>
    <row r="83" spans="6:64" s="273" customFormat="1" ht="12.75">
      <c r="F83" s="273">
        <v>49</v>
      </c>
      <c r="G83" s="273" t="s">
        <v>19</v>
      </c>
      <c r="H83" s="273">
        <v>24669</v>
      </c>
      <c r="I83" s="273">
        <v>3320</v>
      </c>
      <c r="J83" s="273">
        <v>18512</v>
      </c>
      <c r="K83" s="273">
        <v>9002</v>
      </c>
      <c r="L83" s="273">
        <v>197231</v>
      </c>
      <c r="M83" s="273">
        <v>19067</v>
      </c>
      <c r="N83" s="273">
        <v>8734</v>
      </c>
      <c r="O83" s="273">
        <v>2738</v>
      </c>
      <c r="P83" s="273">
        <v>252439</v>
      </c>
      <c r="Q83" s="273">
        <v>2859</v>
      </c>
      <c r="R83" s="273">
        <v>2902</v>
      </c>
      <c r="S83" s="273">
        <v>312.2</v>
      </c>
      <c r="T83" s="273">
        <v>808.5810377962845</v>
      </c>
      <c r="U83" s="273">
        <v>1</v>
      </c>
      <c r="V83" s="273">
        <v>1</v>
      </c>
      <c r="W83" s="273">
        <v>121396</v>
      </c>
      <c r="X83" s="273">
        <v>188</v>
      </c>
      <c r="Y83" s="273">
        <v>1275</v>
      </c>
      <c r="Z83" s="273">
        <v>1.0378966901862032</v>
      </c>
      <c r="AA83" s="273">
        <v>422</v>
      </c>
      <c r="AB83" s="273">
        <v>422</v>
      </c>
      <c r="AC83" s="273">
        <v>1.081499122615155</v>
      </c>
      <c r="AD83" s="273">
        <v>4459</v>
      </c>
      <c r="AE83" s="273">
        <v>1375</v>
      </c>
      <c r="AF83" s="273">
        <v>436</v>
      </c>
      <c r="AG83" s="273">
        <v>53</v>
      </c>
      <c r="AH83" s="273">
        <v>6323</v>
      </c>
      <c r="AI83" s="273">
        <v>0.49802853629435356</v>
      </c>
      <c r="AJ83" s="273">
        <v>130069</v>
      </c>
      <c r="AK83" s="273">
        <v>7108</v>
      </c>
      <c r="AL83" s="273">
        <v>0.5781891243360172</v>
      </c>
      <c r="AM83" s="273">
        <v>0.600481228681077</v>
      </c>
      <c r="AN83" s="273">
        <v>0</v>
      </c>
      <c r="AO83" s="273">
        <v>0</v>
      </c>
      <c r="AP83" s="273">
        <f t="shared" si="0"/>
        <v>0</v>
      </c>
      <c r="AQ83" s="273">
        <v>-266216.5658850074</v>
      </c>
      <c r="AR83" s="273">
        <v>-182503307.487704</v>
      </c>
      <c r="AS83" s="273">
        <v>1</v>
      </c>
      <c r="AT83" s="273">
        <v>252439</v>
      </c>
      <c r="AU83" s="273">
        <v>1</v>
      </c>
      <c r="AV83" s="273">
        <v>666</v>
      </c>
      <c r="AW83" s="273">
        <v>0.002638261124469674</v>
      </c>
      <c r="AX83" s="273">
        <v>0</v>
      </c>
      <c r="AY83" s="273">
        <v>312.2</v>
      </c>
      <c r="AZ83" s="273">
        <v>808.5810377962845</v>
      </c>
      <c r="BA83" s="273">
        <v>246934</v>
      </c>
      <c r="BB83" s="273">
        <v>0.9781927515162079</v>
      </c>
      <c r="BC83" s="273">
        <v>1</v>
      </c>
      <c r="BD83" s="273">
        <v>0</v>
      </c>
      <c r="BE83" s="273">
        <v>241565</v>
      </c>
      <c r="BF83" s="273">
        <v>252439</v>
      </c>
      <c r="BG83" s="273">
        <v>0.045014799329373044</v>
      </c>
      <c r="BH83" s="273">
        <v>0</v>
      </c>
      <c r="BI83" s="273">
        <v>11</v>
      </c>
      <c r="BJ83" s="273">
        <v>4.357488343718681E-05</v>
      </c>
      <c r="BK83" s="273">
        <v>24629698.727098215</v>
      </c>
      <c r="BL83" s="273">
        <v>6322.25</v>
      </c>
    </row>
    <row r="84" spans="6:64" s="273" customFormat="1" ht="12.75">
      <c r="F84" s="273">
        <v>50</v>
      </c>
      <c r="G84" s="273" t="s">
        <v>20</v>
      </c>
      <c r="H84" s="273">
        <v>905</v>
      </c>
      <c r="I84" s="273">
        <v>140</v>
      </c>
      <c r="J84" s="273">
        <v>842</v>
      </c>
      <c r="K84" s="273">
        <v>435</v>
      </c>
      <c r="L84" s="273">
        <v>8685</v>
      </c>
      <c r="M84" s="273">
        <v>1472</v>
      </c>
      <c r="N84" s="273">
        <v>955</v>
      </c>
      <c r="O84" s="273">
        <v>407</v>
      </c>
      <c r="P84" s="273">
        <v>12424</v>
      </c>
      <c r="Q84" s="273">
        <v>0</v>
      </c>
      <c r="R84" s="273">
        <v>18</v>
      </c>
      <c r="S84" s="273">
        <v>578.86</v>
      </c>
      <c r="T84" s="273">
        <v>21.462875306637184</v>
      </c>
      <c r="U84" s="273">
        <v>0</v>
      </c>
      <c r="V84" s="273">
        <v>0</v>
      </c>
      <c r="W84" s="273">
        <v>5170</v>
      </c>
      <c r="X84" s="273">
        <v>374</v>
      </c>
      <c r="Y84" s="273">
        <v>52</v>
      </c>
      <c r="Z84" s="273">
        <v>0.9639931413658723</v>
      </c>
      <c r="AA84" s="273">
        <v>29</v>
      </c>
      <c r="AB84" s="273">
        <v>29</v>
      </c>
      <c r="AC84" s="273">
        <v>1.5101035439360535</v>
      </c>
      <c r="AD84" s="273">
        <v>557</v>
      </c>
      <c r="AE84" s="273">
        <v>95</v>
      </c>
      <c r="AF84" s="273">
        <v>29</v>
      </c>
      <c r="AG84" s="273">
        <v>10</v>
      </c>
      <c r="AH84" s="273">
        <v>691</v>
      </c>
      <c r="AI84" s="273">
        <v>1.1058700640582992</v>
      </c>
      <c r="AJ84" s="273">
        <v>5656</v>
      </c>
      <c r="AK84" s="273">
        <v>372</v>
      </c>
      <c r="AL84" s="273">
        <v>0.6958727653158613</v>
      </c>
      <c r="AM84" s="273">
        <v>1.01933395133222</v>
      </c>
      <c r="AN84" s="273">
        <v>0</v>
      </c>
      <c r="AO84" s="273">
        <v>0</v>
      </c>
      <c r="AP84" s="273">
        <f t="shared" si="0"/>
        <v>0</v>
      </c>
      <c r="AQ84" s="273">
        <v>147021.0045784153</v>
      </c>
      <c r="AR84" s="273">
        <v>1263541.6625230697</v>
      </c>
      <c r="AS84" s="273">
        <v>1</v>
      </c>
      <c r="AT84" s="273">
        <v>12424</v>
      </c>
      <c r="AU84" s="273">
        <v>0</v>
      </c>
      <c r="AV84" s="273">
        <v>0</v>
      </c>
      <c r="AW84" s="273">
        <v>0</v>
      </c>
      <c r="AX84" s="273">
        <v>0</v>
      </c>
      <c r="AY84" s="273">
        <v>578.86</v>
      </c>
      <c r="AZ84" s="273">
        <v>21.462875306637184</v>
      </c>
      <c r="BA84" s="273">
        <v>8534</v>
      </c>
      <c r="BB84" s="273">
        <v>0.6868963296844817</v>
      </c>
      <c r="BC84" s="273">
        <v>0</v>
      </c>
      <c r="BD84" s="273">
        <v>0</v>
      </c>
      <c r="BE84" s="273">
        <v>12576</v>
      </c>
      <c r="BF84" s="273">
        <v>12424</v>
      </c>
      <c r="BG84" s="273">
        <v>-0.012086513994910942</v>
      </c>
      <c r="BH84" s="273">
        <v>0</v>
      </c>
      <c r="BI84" s="273">
        <v>0</v>
      </c>
      <c r="BJ84" s="273">
        <v>0</v>
      </c>
      <c r="BK84" s="273">
        <v>1932111.4160273613</v>
      </c>
      <c r="BL84" s="273">
        <v>6288.08</v>
      </c>
    </row>
    <row r="85" spans="6:64" s="273" customFormat="1" ht="12.75">
      <c r="F85" s="273">
        <v>51</v>
      </c>
      <c r="G85" s="273" t="s">
        <v>21</v>
      </c>
      <c r="H85" s="273">
        <v>501</v>
      </c>
      <c r="I85" s="273">
        <v>69</v>
      </c>
      <c r="J85" s="273">
        <v>406</v>
      </c>
      <c r="K85" s="273">
        <v>214</v>
      </c>
      <c r="L85" s="273">
        <v>4200</v>
      </c>
      <c r="M85" s="273">
        <v>655</v>
      </c>
      <c r="N85" s="273">
        <v>329</v>
      </c>
      <c r="O85" s="273">
        <v>159</v>
      </c>
      <c r="P85" s="273">
        <v>5844</v>
      </c>
      <c r="Q85" s="273">
        <v>0</v>
      </c>
      <c r="R85" s="273">
        <v>12</v>
      </c>
      <c r="S85" s="273">
        <v>345.39</v>
      </c>
      <c r="T85" s="273">
        <v>16.920003474333363</v>
      </c>
      <c r="U85" s="273">
        <v>0</v>
      </c>
      <c r="V85" s="273">
        <v>0</v>
      </c>
      <c r="W85" s="273">
        <v>2473</v>
      </c>
      <c r="X85" s="273">
        <v>156</v>
      </c>
      <c r="Y85" s="273">
        <v>29</v>
      </c>
      <c r="Z85" s="273">
        <v>0.971967426067571</v>
      </c>
      <c r="AA85" s="273">
        <v>1</v>
      </c>
      <c r="AB85" s="273">
        <v>2</v>
      </c>
      <c r="AC85" s="273">
        <v>0.22140629268877632</v>
      </c>
      <c r="AD85" s="273">
        <v>260</v>
      </c>
      <c r="AE85" s="273">
        <v>45</v>
      </c>
      <c r="AF85" s="273">
        <v>9</v>
      </c>
      <c r="AG85" s="273">
        <v>5</v>
      </c>
      <c r="AH85" s="273">
        <v>319</v>
      </c>
      <c r="AI85" s="273">
        <v>1.0853454076612867</v>
      </c>
      <c r="AJ85" s="273">
        <v>2770</v>
      </c>
      <c r="AK85" s="273">
        <v>231</v>
      </c>
      <c r="AL85" s="273">
        <v>0.8823248508450025</v>
      </c>
      <c r="AM85" s="273">
        <v>1.02516095447015</v>
      </c>
      <c r="AN85" s="273">
        <v>0</v>
      </c>
      <c r="AO85" s="273">
        <v>0</v>
      </c>
      <c r="AP85" s="273">
        <f t="shared" si="0"/>
        <v>0</v>
      </c>
      <c r="AQ85" s="273">
        <v>518807.43686433695</v>
      </c>
      <c r="AR85" s="273">
        <v>-1497395.1389485032</v>
      </c>
      <c r="AS85" s="273">
        <v>0</v>
      </c>
      <c r="AT85" s="273">
        <v>5844</v>
      </c>
      <c r="AU85" s="273">
        <v>0</v>
      </c>
      <c r="AV85" s="273">
        <v>0</v>
      </c>
      <c r="AW85" s="273">
        <v>0</v>
      </c>
      <c r="AX85" s="273">
        <v>0</v>
      </c>
      <c r="AY85" s="273">
        <v>345.39</v>
      </c>
      <c r="AZ85" s="273">
        <v>16.920003474333363</v>
      </c>
      <c r="BA85" s="273">
        <v>3562</v>
      </c>
      <c r="BB85" s="273">
        <v>0.609514031485284</v>
      </c>
      <c r="BC85" s="273">
        <v>0</v>
      </c>
      <c r="BD85" s="273">
        <v>0</v>
      </c>
      <c r="BE85" s="273">
        <v>5871</v>
      </c>
      <c r="BF85" s="273">
        <v>5844</v>
      </c>
      <c r="BG85" s="273">
        <v>-0.004598875830352581</v>
      </c>
      <c r="BH85" s="273">
        <v>0</v>
      </c>
      <c r="BI85" s="273">
        <v>0</v>
      </c>
      <c r="BJ85" s="273">
        <v>0</v>
      </c>
      <c r="BK85" s="273">
        <v>1652614.2675416062</v>
      </c>
      <c r="BL85" s="273">
        <v>6455.66</v>
      </c>
    </row>
    <row r="86" spans="6:64" s="273" customFormat="1" ht="12.75">
      <c r="F86" s="273">
        <v>52</v>
      </c>
      <c r="G86" s="273" t="s">
        <v>22</v>
      </c>
      <c r="H86" s="273">
        <v>210</v>
      </c>
      <c r="I86" s="273">
        <v>23</v>
      </c>
      <c r="J86" s="273">
        <v>170</v>
      </c>
      <c r="K86" s="273">
        <v>104</v>
      </c>
      <c r="L86" s="273">
        <v>1881</v>
      </c>
      <c r="M86" s="273">
        <v>328</v>
      </c>
      <c r="N86" s="273">
        <v>244</v>
      </c>
      <c r="O86" s="273">
        <v>84</v>
      </c>
      <c r="P86" s="273">
        <v>2747</v>
      </c>
      <c r="Q86" s="273">
        <v>3</v>
      </c>
      <c r="R86" s="273">
        <v>3</v>
      </c>
      <c r="S86" s="273">
        <v>354.01</v>
      </c>
      <c r="T86" s="273">
        <v>7.759667805994181</v>
      </c>
      <c r="U86" s="273">
        <v>0</v>
      </c>
      <c r="V86" s="273">
        <v>0</v>
      </c>
      <c r="W86" s="273">
        <v>1039</v>
      </c>
      <c r="X86" s="273">
        <v>243</v>
      </c>
      <c r="Y86" s="273">
        <v>10</v>
      </c>
      <c r="Z86" s="273">
        <v>0.7947431716831892</v>
      </c>
      <c r="AA86" s="273">
        <v>7</v>
      </c>
      <c r="AB86" s="273">
        <v>7</v>
      </c>
      <c r="AC86" s="273">
        <v>1.6485781982731091</v>
      </c>
      <c r="AD86" s="273">
        <v>206</v>
      </c>
      <c r="AE86" s="273">
        <v>21</v>
      </c>
      <c r="AF86" s="273">
        <v>7</v>
      </c>
      <c r="AG86" s="273">
        <v>0</v>
      </c>
      <c r="AH86" s="273">
        <v>234</v>
      </c>
      <c r="AI86" s="273">
        <v>1.69373200926537</v>
      </c>
      <c r="AJ86" s="273">
        <v>1174</v>
      </c>
      <c r="AK86" s="273">
        <v>61</v>
      </c>
      <c r="AL86" s="273">
        <v>0.5497408867721264</v>
      </c>
      <c r="AM86" s="273">
        <v>1.43554955105743</v>
      </c>
      <c r="AN86" s="273">
        <v>0</v>
      </c>
      <c r="AO86" s="273">
        <v>0</v>
      </c>
      <c r="AP86" s="273">
        <f t="shared" si="0"/>
        <v>0</v>
      </c>
      <c r="AQ86" s="273">
        <v>216915.193710112</v>
      </c>
      <c r="AR86" s="273">
        <v>2033630.8814142835</v>
      </c>
      <c r="AS86" s="273">
        <v>1</v>
      </c>
      <c r="AT86" s="273">
        <v>2747</v>
      </c>
      <c r="AU86" s="273">
        <v>0</v>
      </c>
      <c r="AV86" s="273">
        <v>0</v>
      </c>
      <c r="AW86" s="273">
        <v>0</v>
      </c>
      <c r="AX86" s="273">
        <v>0</v>
      </c>
      <c r="AY86" s="273">
        <v>354.01</v>
      </c>
      <c r="AZ86" s="273">
        <v>7.759667805994181</v>
      </c>
      <c r="BA86" s="273">
        <v>959</v>
      </c>
      <c r="BB86" s="273">
        <v>0.3491081179468511</v>
      </c>
      <c r="BC86" s="273">
        <v>0</v>
      </c>
      <c r="BD86" s="273">
        <v>0</v>
      </c>
      <c r="BE86" s="273">
        <v>2780</v>
      </c>
      <c r="BF86" s="273">
        <v>2747</v>
      </c>
      <c r="BG86" s="273">
        <v>-0.011870503597122302</v>
      </c>
      <c r="BH86" s="273">
        <v>0</v>
      </c>
      <c r="BI86" s="273">
        <v>0</v>
      </c>
      <c r="BJ86" s="273">
        <v>0</v>
      </c>
      <c r="BK86" s="273">
        <v>507054.94915618154</v>
      </c>
      <c r="BL86" s="273">
        <v>6976.38</v>
      </c>
    </row>
    <row r="87" spans="6:64" s="273" customFormat="1" ht="12.75">
      <c r="F87" s="273">
        <v>61</v>
      </c>
      <c r="G87" s="273" t="s">
        <v>23</v>
      </c>
      <c r="H87" s="273">
        <v>1086</v>
      </c>
      <c r="I87" s="273">
        <v>148</v>
      </c>
      <c r="J87" s="273">
        <v>974</v>
      </c>
      <c r="K87" s="273">
        <v>547</v>
      </c>
      <c r="L87" s="273">
        <v>12593</v>
      </c>
      <c r="M87" s="273">
        <v>2184</v>
      </c>
      <c r="N87" s="273">
        <v>1409</v>
      </c>
      <c r="O87" s="273">
        <v>561</v>
      </c>
      <c r="P87" s="273">
        <v>17833</v>
      </c>
      <c r="Q87" s="273">
        <v>2</v>
      </c>
      <c r="R87" s="273">
        <v>42</v>
      </c>
      <c r="S87" s="273">
        <v>248.78</v>
      </c>
      <c r="T87" s="273">
        <v>71.68180721922984</v>
      </c>
      <c r="U87" s="273">
        <v>0</v>
      </c>
      <c r="V87" s="273">
        <v>0</v>
      </c>
      <c r="W87" s="273">
        <v>6950</v>
      </c>
      <c r="X87" s="273">
        <v>198</v>
      </c>
      <c r="Y87" s="273">
        <v>58</v>
      </c>
      <c r="Z87" s="273">
        <v>1.0118606572035644</v>
      </c>
      <c r="AA87" s="273">
        <v>49</v>
      </c>
      <c r="AB87" s="273">
        <v>49</v>
      </c>
      <c r="AC87" s="273">
        <v>1.7776319281440933</v>
      </c>
      <c r="AD87" s="273">
        <v>911</v>
      </c>
      <c r="AE87" s="273">
        <v>115</v>
      </c>
      <c r="AF87" s="273">
        <v>37</v>
      </c>
      <c r="AG87" s="273">
        <v>5</v>
      </c>
      <c r="AH87" s="273">
        <v>1068</v>
      </c>
      <c r="AI87" s="273">
        <v>1.1907877007657237</v>
      </c>
      <c r="AJ87" s="273">
        <v>8252</v>
      </c>
      <c r="AK87" s="273">
        <v>1122</v>
      </c>
      <c r="AL87" s="273">
        <v>1.4385664852257865</v>
      </c>
      <c r="AM87" s="273">
        <v>1.25246222471285</v>
      </c>
      <c r="AN87" s="273">
        <v>0</v>
      </c>
      <c r="AO87" s="273">
        <v>0</v>
      </c>
      <c r="AP87" s="273">
        <f t="shared" si="0"/>
        <v>0</v>
      </c>
      <c r="AQ87" s="273">
        <v>86203.58749876171</v>
      </c>
      <c r="AR87" s="273">
        <v>4504054.249953839</v>
      </c>
      <c r="AS87" s="273">
        <v>1</v>
      </c>
      <c r="AT87" s="273">
        <v>17833</v>
      </c>
      <c r="AU87" s="273">
        <v>0</v>
      </c>
      <c r="AV87" s="273">
        <v>0</v>
      </c>
      <c r="AW87" s="273">
        <v>0</v>
      </c>
      <c r="AX87" s="273">
        <v>0</v>
      </c>
      <c r="AY87" s="273">
        <v>248.78</v>
      </c>
      <c r="AZ87" s="273">
        <v>71.68180721922984</v>
      </c>
      <c r="BA87" s="273">
        <v>15975</v>
      </c>
      <c r="BB87" s="273">
        <v>0.8958111366567599</v>
      </c>
      <c r="BC87" s="273">
        <v>0</v>
      </c>
      <c r="BD87" s="273">
        <v>0</v>
      </c>
      <c r="BE87" s="273">
        <v>17870</v>
      </c>
      <c r="BF87" s="273">
        <v>17833</v>
      </c>
      <c r="BG87" s="273">
        <v>-0.0020705092333519865</v>
      </c>
      <c r="BH87" s="273">
        <v>0</v>
      </c>
      <c r="BI87" s="273">
        <v>1</v>
      </c>
      <c r="BJ87" s="273">
        <v>5.607581450120563E-05</v>
      </c>
      <c r="BK87" s="273">
        <v>3472228.8981134463</v>
      </c>
      <c r="BL87" s="273">
        <v>5887.49</v>
      </c>
    </row>
    <row r="88" spans="6:64" s="273" customFormat="1" ht="12.75">
      <c r="F88" s="273">
        <v>69</v>
      </c>
      <c r="G88" s="273" t="s">
        <v>24</v>
      </c>
      <c r="H88" s="273">
        <v>688</v>
      </c>
      <c r="I88" s="273">
        <v>102</v>
      </c>
      <c r="J88" s="273">
        <v>639</v>
      </c>
      <c r="K88" s="273">
        <v>350</v>
      </c>
      <c r="L88" s="273">
        <v>5526</v>
      </c>
      <c r="M88" s="273">
        <v>711</v>
      </c>
      <c r="N88" s="273">
        <v>506</v>
      </c>
      <c r="O88" s="273">
        <v>178</v>
      </c>
      <c r="P88" s="273">
        <v>7609</v>
      </c>
      <c r="Q88" s="273">
        <v>0</v>
      </c>
      <c r="R88" s="273">
        <v>8</v>
      </c>
      <c r="S88" s="273">
        <v>765.64</v>
      </c>
      <c r="T88" s="273">
        <v>9.938091008829215</v>
      </c>
      <c r="U88" s="273">
        <v>0</v>
      </c>
      <c r="V88" s="273">
        <v>0</v>
      </c>
      <c r="W88" s="273">
        <v>2797</v>
      </c>
      <c r="X88" s="273">
        <v>324</v>
      </c>
      <c r="Y88" s="273">
        <v>40</v>
      </c>
      <c r="Z88" s="273">
        <v>0.9138384965519682</v>
      </c>
      <c r="AA88" s="273">
        <v>12</v>
      </c>
      <c r="AB88" s="273">
        <v>12</v>
      </c>
      <c r="AC88" s="273">
        <v>1.020290477965469</v>
      </c>
      <c r="AD88" s="273">
        <v>463</v>
      </c>
      <c r="AE88" s="273">
        <v>61</v>
      </c>
      <c r="AF88" s="273">
        <v>9</v>
      </c>
      <c r="AG88" s="273">
        <v>1</v>
      </c>
      <c r="AH88" s="273">
        <v>534</v>
      </c>
      <c r="AI88" s="273">
        <v>1.3954078767088416</v>
      </c>
      <c r="AJ88" s="273">
        <v>3137</v>
      </c>
      <c r="AK88" s="273">
        <v>274</v>
      </c>
      <c r="AL88" s="273">
        <v>0.9241284588142087</v>
      </c>
      <c r="AM88" s="273">
        <v>1.68197415873576</v>
      </c>
      <c r="AN88" s="273">
        <v>0</v>
      </c>
      <c r="AO88" s="273">
        <v>0</v>
      </c>
      <c r="AP88" s="273">
        <f t="shared" si="0"/>
        <v>0</v>
      </c>
      <c r="AQ88" s="273">
        <v>-113460.30353241414</v>
      </c>
      <c r="AR88" s="273">
        <v>5778385.392714287</v>
      </c>
      <c r="AS88" s="273">
        <v>1</v>
      </c>
      <c r="AT88" s="273">
        <v>7609</v>
      </c>
      <c r="AU88" s="273">
        <v>0</v>
      </c>
      <c r="AV88" s="273">
        <v>0</v>
      </c>
      <c r="AW88" s="273">
        <v>0</v>
      </c>
      <c r="AX88" s="273">
        <v>0.13203333333333334</v>
      </c>
      <c r="AY88" s="273">
        <v>765.64</v>
      </c>
      <c r="AZ88" s="273">
        <v>9.938091008829215</v>
      </c>
      <c r="BA88" s="273">
        <v>5201</v>
      </c>
      <c r="BB88" s="273">
        <v>0.6835326586936522</v>
      </c>
      <c r="BC88" s="273">
        <v>0</v>
      </c>
      <c r="BD88" s="273">
        <v>0</v>
      </c>
      <c r="BE88" s="273">
        <v>7771</v>
      </c>
      <c r="BF88" s="273">
        <v>7609</v>
      </c>
      <c r="BG88" s="273">
        <v>-0.0208467378715738</v>
      </c>
      <c r="BH88" s="273">
        <v>0</v>
      </c>
      <c r="BI88" s="273">
        <v>0</v>
      </c>
      <c r="BJ88" s="273">
        <v>0</v>
      </c>
      <c r="BK88" s="273">
        <v>1420692.6223597107</v>
      </c>
      <c r="BL88" s="273">
        <v>6801.64</v>
      </c>
    </row>
    <row r="89" spans="6:64" s="273" customFormat="1" ht="12.75">
      <c r="F89" s="273">
        <v>71</v>
      </c>
      <c r="G89" s="273" t="s">
        <v>25</v>
      </c>
      <c r="H89" s="273">
        <v>682</v>
      </c>
      <c r="I89" s="273">
        <v>104</v>
      </c>
      <c r="J89" s="273">
        <v>630</v>
      </c>
      <c r="K89" s="273">
        <v>337</v>
      </c>
      <c r="L89" s="273">
        <v>5416</v>
      </c>
      <c r="M89" s="273">
        <v>640</v>
      </c>
      <c r="N89" s="273">
        <v>468</v>
      </c>
      <c r="O89" s="273">
        <v>178</v>
      </c>
      <c r="P89" s="273">
        <v>7384</v>
      </c>
      <c r="Q89" s="273">
        <v>0</v>
      </c>
      <c r="R89" s="273">
        <v>6</v>
      </c>
      <c r="S89" s="273">
        <v>1049.73</v>
      </c>
      <c r="T89" s="273">
        <v>7.034189744029417</v>
      </c>
      <c r="U89" s="273">
        <v>0</v>
      </c>
      <c r="V89" s="273">
        <v>0</v>
      </c>
      <c r="W89" s="273">
        <v>2699</v>
      </c>
      <c r="X89" s="273">
        <v>421</v>
      </c>
      <c r="Y89" s="273">
        <v>28</v>
      </c>
      <c r="Z89" s="273">
        <v>0.875788907588229</v>
      </c>
      <c r="AA89" s="273">
        <v>10</v>
      </c>
      <c r="AB89" s="273">
        <v>10</v>
      </c>
      <c r="AC89" s="273">
        <v>0.8761500368859756</v>
      </c>
      <c r="AD89" s="273">
        <v>453</v>
      </c>
      <c r="AE89" s="273">
        <v>44</v>
      </c>
      <c r="AF89" s="273">
        <v>17</v>
      </c>
      <c r="AG89" s="273">
        <v>2</v>
      </c>
      <c r="AH89" s="273">
        <v>516</v>
      </c>
      <c r="AI89" s="273">
        <v>1.389458278929041</v>
      </c>
      <c r="AJ89" s="273">
        <v>3077</v>
      </c>
      <c r="AK89" s="273">
        <v>276</v>
      </c>
      <c r="AL89" s="273">
        <v>0.949025509706876</v>
      </c>
      <c r="AM89" s="273">
        <v>1.65397660619072</v>
      </c>
      <c r="AN89" s="273">
        <v>0</v>
      </c>
      <c r="AO89" s="273">
        <v>0</v>
      </c>
      <c r="AP89" s="273">
        <f t="shared" si="0"/>
        <v>0</v>
      </c>
      <c r="AQ89" s="273">
        <v>-11546.944741975516</v>
      </c>
      <c r="AR89" s="273">
        <v>5563087.883489154</v>
      </c>
      <c r="AS89" s="273">
        <v>1</v>
      </c>
      <c r="AT89" s="273">
        <v>7384</v>
      </c>
      <c r="AU89" s="273">
        <v>0</v>
      </c>
      <c r="AV89" s="273">
        <v>0</v>
      </c>
      <c r="AW89" s="273">
        <v>0</v>
      </c>
      <c r="AX89" s="273">
        <v>0.2576</v>
      </c>
      <c r="AY89" s="273">
        <v>1049.73</v>
      </c>
      <c r="AZ89" s="273">
        <v>7.034189744029417</v>
      </c>
      <c r="BA89" s="273">
        <v>4100</v>
      </c>
      <c r="BB89" s="273">
        <v>0.5552546045503792</v>
      </c>
      <c r="BC89" s="273">
        <v>0</v>
      </c>
      <c r="BD89" s="273">
        <v>0</v>
      </c>
      <c r="BE89" s="273">
        <v>7493</v>
      </c>
      <c r="BF89" s="273">
        <v>7384</v>
      </c>
      <c r="BG89" s="273">
        <v>-0.014546910449753103</v>
      </c>
      <c r="BH89" s="273">
        <v>0</v>
      </c>
      <c r="BI89" s="273">
        <v>2</v>
      </c>
      <c r="BJ89" s="273">
        <v>0.00027085590465872155</v>
      </c>
      <c r="BK89" s="273">
        <v>1254533.2904852119</v>
      </c>
      <c r="BL89" s="273">
        <v>7033.76</v>
      </c>
    </row>
    <row r="90" spans="6:64" s="273" customFormat="1" ht="12.75">
      <c r="F90" s="273">
        <v>72</v>
      </c>
      <c r="G90" s="273" t="s">
        <v>26</v>
      </c>
      <c r="H90" s="273">
        <v>60</v>
      </c>
      <c r="I90" s="273">
        <v>10</v>
      </c>
      <c r="J90" s="273">
        <v>40</v>
      </c>
      <c r="K90" s="273">
        <v>35</v>
      </c>
      <c r="L90" s="273">
        <v>647</v>
      </c>
      <c r="M90" s="273">
        <v>189</v>
      </c>
      <c r="N90" s="273">
        <v>80</v>
      </c>
      <c r="O90" s="273">
        <v>28</v>
      </c>
      <c r="P90" s="273">
        <v>1004</v>
      </c>
      <c r="Q90" s="273">
        <v>0</v>
      </c>
      <c r="R90" s="273">
        <v>1</v>
      </c>
      <c r="S90" s="273">
        <v>200.56</v>
      </c>
      <c r="T90" s="273">
        <v>5.005983246908656</v>
      </c>
      <c r="U90" s="273">
        <v>3</v>
      </c>
      <c r="V90" s="273">
        <v>0</v>
      </c>
      <c r="W90" s="273">
        <v>351</v>
      </c>
      <c r="X90" s="273">
        <v>54</v>
      </c>
      <c r="Y90" s="273">
        <v>3</v>
      </c>
      <c r="Z90" s="273">
        <v>0.87995410307655</v>
      </c>
      <c r="AA90" s="273">
        <v>0</v>
      </c>
      <c r="AB90" s="273">
        <v>2</v>
      </c>
      <c r="AC90" s="273">
        <v>1.2887434008697298</v>
      </c>
      <c r="AD90" s="273">
        <v>70</v>
      </c>
      <c r="AE90" s="273">
        <v>2</v>
      </c>
      <c r="AF90" s="273">
        <v>4</v>
      </c>
      <c r="AG90" s="273">
        <v>2</v>
      </c>
      <c r="AH90" s="273">
        <v>78</v>
      </c>
      <c r="AI90" s="273">
        <v>1.5447150828193796</v>
      </c>
      <c r="AJ90" s="273">
        <v>406</v>
      </c>
      <c r="AK90" s="273">
        <v>46</v>
      </c>
      <c r="AL90" s="273">
        <v>1.1987485604959185</v>
      </c>
      <c r="AM90" s="273">
        <v>1.55214992725628</v>
      </c>
      <c r="AN90" s="273">
        <v>0</v>
      </c>
      <c r="AO90" s="273">
        <v>0.1</v>
      </c>
      <c r="AP90" s="273">
        <f t="shared" si="0"/>
        <v>0.1</v>
      </c>
      <c r="AQ90" s="273">
        <v>41680.04681260092</v>
      </c>
      <c r="AR90" s="273">
        <v>368654.2570649347</v>
      </c>
      <c r="AS90" s="273">
        <v>0</v>
      </c>
      <c r="AT90" s="273">
        <v>1004</v>
      </c>
      <c r="AU90" s="273">
        <v>3</v>
      </c>
      <c r="AV90" s="273">
        <v>1004</v>
      </c>
      <c r="AW90" s="273">
        <v>1</v>
      </c>
      <c r="AX90" s="273">
        <v>0.8267333333333333</v>
      </c>
      <c r="AY90" s="273">
        <v>200.56</v>
      </c>
      <c r="AZ90" s="273">
        <v>5.005983246908656</v>
      </c>
      <c r="BA90" s="273">
        <v>558</v>
      </c>
      <c r="BB90" s="273">
        <v>0.5557768924302788</v>
      </c>
      <c r="BC90" s="273">
        <v>0</v>
      </c>
      <c r="BD90" s="273">
        <v>0</v>
      </c>
      <c r="BE90" s="273">
        <v>1028</v>
      </c>
      <c r="BF90" s="273">
        <v>1004</v>
      </c>
      <c r="BG90" s="273">
        <v>-0.023346303501945526</v>
      </c>
      <c r="BH90" s="273">
        <v>0</v>
      </c>
      <c r="BI90" s="273">
        <v>0</v>
      </c>
      <c r="BJ90" s="273">
        <v>0</v>
      </c>
      <c r="BK90" s="273">
        <v>204339.3310706348</v>
      </c>
      <c r="BL90" s="273">
        <v>8885.01</v>
      </c>
    </row>
    <row r="91" spans="6:64" s="273" customFormat="1" ht="12.75">
      <c r="F91" s="273">
        <v>74</v>
      </c>
      <c r="G91" s="273" t="s">
        <v>27</v>
      </c>
      <c r="H91" s="273">
        <v>67</v>
      </c>
      <c r="I91" s="273">
        <v>11</v>
      </c>
      <c r="J91" s="273">
        <v>85</v>
      </c>
      <c r="K91" s="273">
        <v>56</v>
      </c>
      <c r="L91" s="273">
        <v>878</v>
      </c>
      <c r="M91" s="273">
        <v>159</v>
      </c>
      <c r="N91" s="273">
        <v>130</v>
      </c>
      <c r="O91" s="273">
        <v>41</v>
      </c>
      <c r="P91" s="273">
        <v>1275</v>
      </c>
      <c r="Q91" s="273">
        <v>0</v>
      </c>
      <c r="R91" s="273">
        <v>2</v>
      </c>
      <c r="S91" s="273">
        <v>412.7</v>
      </c>
      <c r="T91" s="273">
        <v>3.0894111945723286</v>
      </c>
      <c r="U91" s="273">
        <v>0</v>
      </c>
      <c r="V91" s="273">
        <v>0</v>
      </c>
      <c r="W91" s="273">
        <v>495</v>
      </c>
      <c r="X91" s="273">
        <v>135</v>
      </c>
      <c r="Y91" s="273">
        <v>11</v>
      </c>
      <c r="Z91" s="273">
        <v>0.740696060418981</v>
      </c>
      <c r="AA91" s="273">
        <v>0</v>
      </c>
      <c r="AB91" s="273">
        <v>2</v>
      </c>
      <c r="AC91" s="273">
        <v>1.0148222544887913</v>
      </c>
      <c r="AD91" s="273">
        <v>95</v>
      </c>
      <c r="AE91" s="273">
        <v>9</v>
      </c>
      <c r="AF91" s="273">
        <v>3</v>
      </c>
      <c r="AG91" s="273">
        <v>0</v>
      </c>
      <c r="AH91" s="273">
        <v>107</v>
      </c>
      <c r="AI91" s="273">
        <v>1.6686340062053324</v>
      </c>
      <c r="AJ91" s="273">
        <v>553</v>
      </c>
      <c r="AK91" s="273">
        <v>50</v>
      </c>
      <c r="AL91" s="273">
        <v>0.9566237824540901</v>
      </c>
      <c r="AM91" s="273">
        <v>0.828760139927324</v>
      </c>
      <c r="AN91" s="273">
        <v>0.05</v>
      </c>
      <c r="AO91" s="273">
        <v>0</v>
      </c>
      <c r="AP91" s="273">
        <f t="shared" si="0"/>
        <v>0.05</v>
      </c>
      <c r="AQ91" s="273">
        <v>55446.229112515226</v>
      </c>
      <c r="AR91" s="273">
        <v>833662.8313902435</v>
      </c>
      <c r="AS91" s="273">
        <v>1</v>
      </c>
      <c r="AT91" s="273">
        <v>1275</v>
      </c>
      <c r="AU91" s="273">
        <v>0</v>
      </c>
      <c r="AV91" s="273">
        <v>0</v>
      </c>
      <c r="AW91" s="273">
        <v>0</v>
      </c>
      <c r="AX91" s="273">
        <v>0.8178666666666667</v>
      </c>
      <c r="AY91" s="273">
        <v>412.7</v>
      </c>
      <c r="AZ91" s="273">
        <v>3.0894111945723286</v>
      </c>
      <c r="BA91" s="273">
        <v>511</v>
      </c>
      <c r="BB91" s="273">
        <v>0.40078431372549017</v>
      </c>
      <c r="BC91" s="273">
        <v>0</v>
      </c>
      <c r="BD91" s="273">
        <v>0</v>
      </c>
      <c r="BE91" s="273">
        <v>1351</v>
      </c>
      <c r="BF91" s="273">
        <v>1275</v>
      </c>
      <c r="BG91" s="273">
        <v>-0.056254626202812734</v>
      </c>
      <c r="BH91" s="273">
        <v>0</v>
      </c>
      <c r="BI91" s="273">
        <v>0</v>
      </c>
      <c r="BJ91" s="273">
        <v>0</v>
      </c>
      <c r="BK91" s="273">
        <v>279999.82943589234</v>
      </c>
      <c r="BL91" s="273">
        <v>7846.28</v>
      </c>
    </row>
    <row r="92" spans="6:64" s="273" customFormat="1" ht="12.75">
      <c r="F92" s="273">
        <v>75</v>
      </c>
      <c r="G92" s="273" t="s">
        <v>28</v>
      </c>
      <c r="H92" s="273">
        <v>1403</v>
      </c>
      <c r="I92" s="273">
        <v>215</v>
      </c>
      <c r="J92" s="273">
        <v>1308</v>
      </c>
      <c r="K92" s="273">
        <v>649</v>
      </c>
      <c r="L92" s="273">
        <v>15068</v>
      </c>
      <c r="M92" s="273">
        <v>2661</v>
      </c>
      <c r="N92" s="273">
        <v>1670</v>
      </c>
      <c r="O92" s="273">
        <v>601</v>
      </c>
      <c r="P92" s="273">
        <v>21403</v>
      </c>
      <c r="Q92" s="273">
        <v>4</v>
      </c>
      <c r="R92" s="273">
        <v>108</v>
      </c>
      <c r="S92" s="273">
        <v>609.51</v>
      </c>
      <c r="T92" s="273">
        <v>35.11509245131335</v>
      </c>
      <c r="U92" s="273">
        <v>0</v>
      </c>
      <c r="V92" s="273">
        <v>0</v>
      </c>
      <c r="W92" s="273">
        <v>8200</v>
      </c>
      <c r="X92" s="273">
        <v>314</v>
      </c>
      <c r="Y92" s="273">
        <v>73</v>
      </c>
      <c r="Z92" s="273">
        <v>1.0009762626411634</v>
      </c>
      <c r="AA92" s="273">
        <v>20</v>
      </c>
      <c r="AB92" s="273">
        <v>20</v>
      </c>
      <c r="AC92" s="273">
        <v>0.6045406599416945</v>
      </c>
      <c r="AD92" s="273">
        <v>965</v>
      </c>
      <c r="AE92" s="273">
        <v>110</v>
      </c>
      <c r="AF92" s="273">
        <v>24</v>
      </c>
      <c r="AG92" s="273">
        <v>15</v>
      </c>
      <c r="AH92" s="273">
        <v>1114</v>
      </c>
      <c r="AI92" s="273">
        <v>1.0348991650282862</v>
      </c>
      <c r="AJ92" s="273">
        <v>9660</v>
      </c>
      <c r="AK92" s="273">
        <v>1171</v>
      </c>
      <c r="AL92" s="273">
        <v>1.282555210015151</v>
      </c>
      <c r="AM92" s="273">
        <v>1.02227073000276</v>
      </c>
      <c r="AN92" s="273">
        <v>0</v>
      </c>
      <c r="AO92" s="273">
        <v>0</v>
      </c>
      <c r="AP92" s="273">
        <f t="shared" si="0"/>
        <v>0</v>
      </c>
      <c r="AQ92" s="273">
        <v>23925.74176903814</v>
      </c>
      <c r="AR92" s="273">
        <v>-389627.6065869033</v>
      </c>
      <c r="AS92" s="273">
        <v>1</v>
      </c>
      <c r="AT92" s="273">
        <v>21403</v>
      </c>
      <c r="AU92" s="273">
        <v>0</v>
      </c>
      <c r="AV92" s="273">
        <v>0</v>
      </c>
      <c r="AW92" s="273">
        <v>0</v>
      </c>
      <c r="AX92" s="273">
        <v>0</v>
      </c>
      <c r="AY92" s="273">
        <v>609.51</v>
      </c>
      <c r="AZ92" s="273">
        <v>35.11509245131335</v>
      </c>
      <c r="BA92" s="273">
        <v>18451</v>
      </c>
      <c r="BB92" s="273">
        <v>0.8620754099892538</v>
      </c>
      <c r="BC92" s="273">
        <v>0</v>
      </c>
      <c r="BD92" s="273">
        <v>0</v>
      </c>
      <c r="BE92" s="273">
        <v>21570</v>
      </c>
      <c r="BF92" s="273">
        <v>21403</v>
      </c>
      <c r="BG92" s="273">
        <v>-0.007742234585071859</v>
      </c>
      <c r="BH92" s="273">
        <v>0</v>
      </c>
      <c r="BI92" s="273">
        <v>0</v>
      </c>
      <c r="BJ92" s="273">
        <v>0</v>
      </c>
      <c r="BK92" s="273">
        <v>3623543.649747687</v>
      </c>
      <c r="BL92" s="273">
        <v>6004.82</v>
      </c>
    </row>
    <row r="93" spans="6:64" s="273" customFormat="1" ht="12.75">
      <c r="F93" s="273">
        <v>77</v>
      </c>
      <c r="G93" s="273" t="s">
        <v>29</v>
      </c>
      <c r="H93" s="273">
        <v>381</v>
      </c>
      <c r="I93" s="273">
        <v>44</v>
      </c>
      <c r="J93" s="273">
        <v>341</v>
      </c>
      <c r="K93" s="273">
        <v>181</v>
      </c>
      <c r="L93" s="273">
        <v>3741</v>
      </c>
      <c r="M93" s="273">
        <v>668</v>
      </c>
      <c r="N93" s="273">
        <v>499</v>
      </c>
      <c r="O93" s="273">
        <v>202</v>
      </c>
      <c r="P93" s="273">
        <v>5491</v>
      </c>
      <c r="Q93" s="273">
        <v>0</v>
      </c>
      <c r="R93" s="273">
        <v>3</v>
      </c>
      <c r="S93" s="273">
        <v>571.85</v>
      </c>
      <c r="T93" s="273">
        <v>9.602168400804407</v>
      </c>
      <c r="U93" s="273">
        <v>0</v>
      </c>
      <c r="V93" s="273">
        <v>0</v>
      </c>
      <c r="W93" s="273">
        <v>1938</v>
      </c>
      <c r="X93" s="273">
        <v>286</v>
      </c>
      <c r="Y93" s="273">
        <v>44</v>
      </c>
      <c r="Z93" s="273">
        <v>0.8716699581749006</v>
      </c>
      <c r="AA93" s="273">
        <v>8</v>
      </c>
      <c r="AB93" s="273">
        <v>8</v>
      </c>
      <c r="AC93" s="273">
        <v>0.9425593694942332</v>
      </c>
      <c r="AD93" s="273">
        <v>355</v>
      </c>
      <c r="AE93" s="273">
        <v>41</v>
      </c>
      <c r="AF93" s="273">
        <v>6</v>
      </c>
      <c r="AG93" s="273">
        <v>5</v>
      </c>
      <c r="AH93" s="273">
        <v>407</v>
      </c>
      <c r="AI93" s="273">
        <v>1.473772548231179</v>
      </c>
      <c r="AJ93" s="273">
        <v>2278</v>
      </c>
      <c r="AK93" s="273">
        <v>292</v>
      </c>
      <c r="AL93" s="273">
        <v>1.3562052844210417</v>
      </c>
      <c r="AM93" s="273">
        <v>1.46151250300704</v>
      </c>
      <c r="AN93" s="273">
        <v>0</v>
      </c>
      <c r="AO93" s="273">
        <v>0</v>
      </c>
      <c r="AP93" s="273">
        <f t="shared" si="0"/>
        <v>0</v>
      </c>
      <c r="AQ93" s="273">
        <v>157787.49098494463</v>
      </c>
      <c r="AR93" s="273">
        <v>5058207.906309999</v>
      </c>
      <c r="AS93" s="273">
        <v>1</v>
      </c>
      <c r="AT93" s="273">
        <v>5491</v>
      </c>
      <c r="AU93" s="273">
        <v>0</v>
      </c>
      <c r="AV93" s="273">
        <v>0</v>
      </c>
      <c r="AW93" s="273">
        <v>0</v>
      </c>
      <c r="AX93" s="273">
        <v>0.0984</v>
      </c>
      <c r="AY93" s="273">
        <v>571.85</v>
      </c>
      <c r="AZ93" s="273">
        <v>9.602168400804407</v>
      </c>
      <c r="BA93" s="273">
        <v>2585</v>
      </c>
      <c r="BB93" s="273">
        <v>0.47077035148424695</v>
      </c>
      <c r="BC93" s="273">
        <v>0</v>
      </c>
      <c r="BD93" s="273">
        <v>0</v>
      </c>
      <c r="BE93" s="273">
        <v>5526</v>
      </c>
      <c r="BF93" s="273">
        <v>5491</v>
      </c>
      <c r="BG93" s="273">
        <v>-0.006333695258776692</v>
      </c>
      <c r="BH93" s="273">
        <v>0</v>
      </c>
      <c r="BI93" s="273">
        <v>0</v>
      </c>
      <c r="BJ93" s="273">
        <v>0</v>
      </c>
      <c r="BK93" s="273">
        <v>1270107.7778971766</v>
      </c>
      <c r="BL93" s="273">
        <v>6823.25</v>
      </c>
    </row>
    <row r="94" spans="6:64" s="273" customFormat="1" ht="12.75">
      <c r="F94" s="273">
        <v>78</v>
      </c>
      <c r="G94" s="273" t="s">
        <v>30</v>
      </c>
      <c r="H94" s="273">
        <v>622</v>
      </c>
      <c r="I94" s="273">
        <v>88</v>
      </c>
      <c r="J94" s="273">
        <v>558</v>
      </c>
      <c r="K94" s="273">
        <v>296</v>
      </c>
      <c r="L94" s="273">
        <v>6609</v>
      </c>
      <c r="M94" s="273">
        <v>1390</v>
      </c>
      <c r="N94" s="273">
        <v>562</v>
      </c>
      <c r="O94" s="273">
        <v>234</v>
      </c>
      <c r="P94" s="273">
        <v>9417</v>
      </c>
      <c r="Q94" s="273">
        <v>408</v>
      </c>
      <c r="R94" s="273">
        <v>36</v>
      </c>
      <c r="S94" s="273">
        <v>116.89</v>
      </c>
      <c r="T94" s="273">
        <v>80.56292240568055</v>
      </c>
      <c r="U94" s="273">
        <v>0</v>
      </c>
      <c r="V94" s="273">
        <v>1</v>
      </c>
      <c r="W94" s="273">
        <v>3845</v>
      </c>
      <c r="X94" s="273">
        <v>18</v>
      </c>
      <c r="Y94" s="273">
        <v>30</v>
      </c>
      <c r="Z94" s="273">
        <v>1.037442558153059</v>
      </c>
      <c r="AA94" s="273">
        <v>24</v>
      </c>
      <c r="AB94" s="273">
        <v>24</v>
      </c>
      <c r="AC94" s="273">
        <v>1.6488032806284918</v>
      </c>
      <c r="AD94" s="273">
        <v>389</v>
      </c>
      <c r="AE94" s="273">
        <v>29</v>
      </c>
      <c r="AF94" s="273">
        <v>9</v>
      </c>
      <c r="AG94" s="273">
        <v>5</v>
      </c>
      <c r="AH94" s="273">
        <v>432</v>
      </c>
      <c r="AI94" s="273">
        <v>0.9121340612055718</v>
      </c>
      <c r="AJ94" s="273">
        <v>4511</v>
      </c>
      <c r="AK94" s="273">
        <v>411</v>
      </c>
      <c r="AL94" s="273">
        <v>0.9639739443472088</v>
      </c>
      <c r="AM94" s="273">
        <v>1.06732786839538</v>
      </c>
      <c r="AN94" s="273">
        <v>0</v>
      </c>
      <c r="AO94" s="273">
        <v>0</v>
      </c>
      <c r="AP94" s="273">
        <f t="shared" si="0"/>
        <v>0</v>
      </c>
      <c r="AQ94" s="273">
        <v>82923.98256242089</v>
      </c>
      <c r="AR94" s="273">
        <v>-1921474.2033004803</v>
      </c>
      <c r="AS94" s="273">
        <v>1</v>
      </c>
      <c r="AT94" s="273">
        <v>9417</v>
      </c>
      <c r="AU94" s="273">
        <v>0</v>
      </c>
      <c r="AV94" s="273">
        <v>0</v>
      </c>
      <c r="AW94" s="273">
        <v>0</v>
      </c>
      <c r="AX94" s="273">
        <v>0.4212166666666667</v>
      </c>
      <c r="AY94" s="273">
        <v>116.89</v>
      </c>
      <c r="AZ94" s="273">
        <v>80.56292240568055</v>
      </c>
      <c r="BA94" s="273">
        <v>8914</v>
      </c>
      <c r="BB94" s="273">
        <v>0.9465859615588829</v>
      </c>
      <c r="BC94" s="273">
        <v>1</v>
      </c>
      <c r="BD94" s="273">
        <v>0</v>
      </c>
      <c r="BE94" s="273">
        <v>9657</v>
      </c>
      <c r="BF94" s="273">
        <v>9417</v>
      </c>
      <c r="BG94" s="273">
        <v>-0.024852438645542093</v>
      </c>
      <c r="BH94" s="273">
        <v>0</v>
      </c>
      <c r="BI94" s="273">
        <v>1</v>
      </c>
      <c r="BJ94" s="273">
        <v>0.00010619093129446746</v>
      </c>
      <c r="BK94" s="273">
        <v>1567672.3664793274</v>
      </c>
      <c r="BL94" s="273">
        <v>6524.32</v>
      </c>
    </row>
    <row r="95" spans="6:64" s="273" customFormat="1" ht="12.75">
      <c r="F95" s="273">
        <v>79</v>
      </c>
      <c r="G95" s="273" t="s">
        <v>31</v>
      </c>
      <c r="H95" s="273">
        <v>469</v>
      </c>
      <c r="I95" s="273">
        <v>75</v>
      </c>
      <c r="J95" s="273">
        <v>472</v>
      </c>
      <c r="K95" s="273">
        <v>237</v>
      </c>
      <c r="L95" s="273">
        <v>5157</v>
      </c>
      <c r="M95" s="273">
        <v>1050</v>
      </c>
      <c r="N95" s="273">
        <v>591</v>
      </c>
      <c r="O95" s="273">
        <v>237</v>
      </c>
      <c r="P95" s="273">
        <v>7504</v>
      </c>
      <c r="Q95" s="273">
        <v>1</v>
      </c>
      <c r="R95" s="273">
        <v>17</v>
      </c>
      <c r="S95" s="273">
        <v>123.46</v>
      </c>
      <c r="T95" s="273">
        <v>60.780819698687836</v>
      </c>
      <c r="U95" s="273">
        <v>0</v>
      </c>
      <c r="V95" s="273">
        <v>0</v>
      </c>
      <c r="W95" s="273">
        <v>2971</v>
      </c>
      <c r="X95" s="273">
        <v>62</v>
      </c>
      <c r="Y95" s="273">
        <v>24</v>
      </c>
      <c r="Z95" s="273">
        <v>1.0201475065873995</v>
      </c>
      <c r="AA95" s="273">
        <v>12</v>
      </c>
      <c r="AB95" s="273">
        <v>12</v>
      </c>
      <c r="AC95" s="273">
        <v>1.0345669305489409</v>
      </c>
      <c r="AD95" s="273">
        <v>404</v>
      </c>
      <c r="AE95" s="273">
        <v>58</v>
      </c>
      <c r="AF95" s="273">
        <v>21</v>
      </c>
      <c r="AG95" s="273">
        <v>4</v>
      </c>
      <c r="AH95" s="273">
        <v>487</v>
      </c>
      <c r="AI95" s="273">
        <v>1.2903978567232008</v>
      </c>
      <c r="AJ95" s="273">
        <v>3412</v>
      </c>
      <c r="AK95" s="273">
        <v>359</v>
      </c>
      <c r="AL95" s="273">
        <v>1.1132218620120935</v>
      </c>
      <c r="AM95" s="273">
        <v>1.26869551600858</v>
      </c>
      <c r="AN95" s="273">
        <v>0</v>
      </c>
      <c r="AO95" s="273">
        <v>0</v>
      </c>
      <c r="AP95" s="273">
        <f t="shared" si="0"/>
        <v>0</v>
      </c>
      <c r="AQ95" s="273">
        <v>93941.89818028547</v>
      </c>
      <c r="AR95" s="273">
        <v>-601313.7426705613</v>
      </c>
      <c r="AS95" s="273">
        <v>1</v>
      </c>
      <c r="AT95" s="273">
        <v>7504</v>
      </c>
      <c r="AU95" s="273">
        <v>0</v>
      </c>
      <c r="AV95" s="273">
        <v>0</v>
      </c>
      <c r="AW95" s="273">
        <v>0</v>
      </c>
      <c r="AX95" s="273">
        <v>0</v>
      </c>
      <c r="AY95" s="273">
        <v>123.46</v>
      </c>
      <c r="AZ95" s="273">
        <v>60.780819698687836</v>
      </c>
      <c r="BA95" s="273">
        <v>6814</v>
      </c>
      <c r="BB95" s="273">
        <v>0.9080490405117271</v>
      </c>
      <c r="BC95" s="273">
        <v>0</v>
      </c>
      <c r="BD95" s="273">
        <v>0</v>
      </c>
      <c r="BE95" s="273">
        <v>7580</v>
      </c>
      <c r="BF95" s="273">
        <v>7504</v>
      </c>
      <c r="BG95" s="273">
        <v>-0.010026385224274407</v>
      </c>
      <c r="BH95" s="273">
        <v>0</v>
      </c>
      <c r="BI95" s="273">
        <v>0</v>
      </c>
      <c r="BJ95" s="273">
        <v>0</v>
      </c>
      <c r="BK95" s="273">
        <v>1239131.3070418332</v>
      </c>
      <c r="BL95" s="273">
        <v>5878.36</v>
      </c>
    </row>
    <row r="96" spans="6:64" s="273" customFormat="1" ht="12.75">
      <c r="F96" s="273">
        <v>81</v>
      </c>
      <c r="G96" s="273" t="s">
        <v>32</v>
      </c>
      <c r="H96" s="273">
        <v>135</v>
      </c>
      <c r="I96" s="273">
        <v>23</v>
      </c>
      <c r="J96" s="273">
        <v>156</v>
      </c>
      <c r="K96" s="273">
        <v>113</v>
      </c>
      <c r="L96" s="273">
        <v>2218</v>
      </c>
      <c r="M96" s="273">
        <v>482</v>
      </c>
      <c r="N96" s="273">
        <v>333</v>
      </c>
      <c r="O96" s="273">
        <v>124</v>
      </c>
      <c r="P96" s="273">
        <v>3292</v>
      </c>
      <c r="Q96" s="273">
        <v>1</v>
      </c>
      <c r="R96" s="273">
        <v>1</v>
      </c>
      <c r="S96" s="273">
        <v>542.95</v>
      </c>
      <c r="T96" s="273">
        <v>6.063173404549222</v>
      </c>
      <c r="U96" s="273">
        <v>0</v>
      </c>
      <c r="V96" s="273">
        <v>0</v>
      </c>
      <c r="W96" s="273">
        <v>1221</v>
      </c>
      <c r="X96" s="273">
        <v>224</v>
      </c>
      <c r="Y96" s="273">
        <v>20</v>
      </c>
      <c r="Z96" s="273">
        <v>0.8406180411554376</v>
      </c>
      <c r="AA96" s="273">
        <v>6</v>
      </c>
      <c r="AB96" s="273">
        <v>6</v>
      </c>
      <c r="AC96" s="273">
        <v>1.1791297458747347</v>
      </c>
      <c r="AD96" s="273">
        <v>203</v>
      </c>
      <c r="AE96" s="273">
        <v>21</v>
      </c>
      <c r="AF96" s="273">
        <v>3</v>
      </c>
      <c r="AG96" s="273">
        <v>3</v>
      </c>
      <c r="AH96" s="273">
        <v>230</v>
      </c>
      <c r="AI96" s="273">
        <v>1.3891703544126053</v>
      </c>
      <c r="AJ96" s="273">
        <v>1413</v>
      </c>
      <c r="AK96" s="273">
        <v>137</v>
      </c>
      <c r="AL96" s="273">
        <v>1.025828370594541</v>
      </c>
      <c r="AM96" s="273">
        <v>1.03563359896023</v>
      </c>
      <c r="AN96" s="273">
        <v>0</v>
      </c>
      <c r="AO96" s="273">
        <v>0</v>
      </c>
      <c r="AP96" s="273">
        <f t="shared" si="0"/>
        <v>0</v>
      </c>
      <c r="AQ96" s="273">
        <v>-49133.1341699101</v>
      </c>
      <c r="AR96" s="273">
        <v>2373506.6485317075</v>
      </c>
      <c r="AS96" s="273">
        <v>1</v>
      </c>
      <c r="AT96" s="273">
        <v>3292</v>
      </c>
      <c r="AU96" s="273">
        <v>0</v>
      </c>
      <c r="AV96" s="273">
        <v>0</v>
      </c>
      <c r="AW96" s="273">
        <v>0</v>
      </c>
      <c r="AX96" s="273">
        <v>0.35675</v>
      </c>
      <c r="AY96" s="273">
        <v>542.95</v>
      </c>
      <c r="AZ96" s="273">
        <v>6.063173404549222</v>
      </c>
      <c r="BA96" s="273">
        <v>1751</v>
      </c>
      <c r="BB96" s="273">
        <v>0.5318955042527339</v>
      </c>
      <c r="BC96" s="273">
        <v>0</v>
      </c>
      <c r="BD96" s="273">
        <v>0</v>
      </c>
      <c r="BE96" s="273">
        <v>3466</v>
      </c>
      <c r="BF96" s="273">
        <v>3292</v>
      </c>
      <c r="BG96" s="273">
        <v>-0.05020196191575303</v>
      </c>
      <c r="BH96" s="273">
        <v>0</v>
      </c>
      <c r="BI96" s="273">
        <v>0</v>
      </c>
      <c r="BJ96" s="273">
        <v>0</v>
      </c>
      <c r="BK96" s="273">
        <v>799885.1005006313</v>
      </c>
      <c r="BL96" s="273">
        <v>7118.81</v>
      </c>
    </row>
    <row r="97" spans="6:64" s="273" customFormat="1" ht="12.75">
      <c r="F97" s="273">
        <v>82</v>
      </c>
      <c r="G97" s="273" t="s">
        <v>33</v>
      </c>
      <c r="H97" s="273">
        <v>844</v>
      </c>
      <c r="I97" s="273">
        <v>115</v>
      </c>
      <c r="J97" s="273">
        <v>750</v>
      </c>
      <c r="K97" s="273">
        <v>355</v>
      </c>
      <c r="L97" s="273">
        <v>7196</v>
      </c>
      <c r="M97" s="273">
        <v>960</v>
      </c>
      <c r="N97" s="273">
        <v>521</v>
      </c>
      <c r="O97" s="273">
        <v>161</v>
      </c>
      <c r="P97" s="273">
        <v>9682</v>
      </c>
      <c r="Q97" s="273">
        <v>1</v>
      </c>
      <c r="R97" s="273">
        <v>4</v>
      </c>
      <c r="S97" s="273">
        <v>357.82</v>
      </c>
      <c r="T97" s="273">
        <v>27.05829746800067</v>
      </c>
      <c r="U97" s="273">
        <v>0</v>
      </c>
      <c r="V97" s="273">
        <v>0</v>
      </c>
      <c r="W97" s="273">
        <v>4329</v>
      </c>
      <c r="X97" s="273">
        <v>153</v>
      </c>
      <c r="Y97" s="273">
        <v>30</v>
      </c>
      <c r="Z97" s="273">
        <v>1.006147190114555</v>
      </c>
      <c r="AA97" s="273">
        <v>4</v>
      </c>
      <c r="AB97" s="273">
        <v>2</v>
      </c>
      <c r="AC97" s="273">
        <v>0.13363957596294246</v>
      </c>
      <c r="AD97" s="273">
        <v>314</v>
      </c>
      <c r="AE97" s="273">
        <v>70</v>
      </c>
      <c r="AF97" s="273">
        <v>18</v>
      </c>
      <c r="AG97" s="273">
        <v>2</v>
      </c>
      <c r="AH97" s="273">
        <v>404</v>
      </c>
      <c r="AI97" s="273">
        <v>0.8296669381628947</v>
      </c>
      <c r="AJ97" s="273">
        <v>4773</v>
      </c>
      <c r="AK97" s="273">
        <v>320</v>
      </c>
      <c r="AL97" s="273">
        <v>0.7093406433818387</v>
      </c>
      <c r="AM97" s="273">
        <v>0.692101572127853</v>
      </c>
      <c r="AN97" s="273">
        <v>0</v>
      </c>
      <c r="AO97" s="273">
        <v>0</v>
      </c>
      <c r="AP97" s="273">
        <f t="shared" si="0"/>
        <v>0</v>
      </c>
      <c r="AQ97" s="273">
        <v>-115651.5479556378</v>
      </c>
      <c r="AR97" s="273">
        <v>-214422.32989605024</v>
      </c>
      <c r="AS97" s="273">
        <v>0</v>
      </c>
      <c r="AT97" s="273">
        <v>9682</v>
      </c>
      <c r="AU97" s="273">
        <v>0</v>
      </c>
      <c r="AV97" s="273">
        <v>0</v>
      </c>
      <c r="AW97" s="273">
        <v>0</v>
      </c>
      <c r="AX97" s="273">
        <v>0</v>
      </c>
      <c r="AY97" s="273">
        <v>357.82</v>
      </c>
      <c r="AZ97" s="273">
        <v>27.05829746800067</v>
      </c>
      <c r="BA97" s="273">
        <v>7328</v>
      </c>
      <c r="BB97" s="273">
        <v>0.7568684156166081</v>
      </c>
      <c r="BC97" s="273">
        <v>0</v>
      </c>
      <c r="BD97" s="273">
        <v>0</v>
      </c>
      <c r="BE97" s="273">
        <v>9571</v>
      </c>
      <c r="BF97" s="273">
        <v>9682</v>
      </c>
      <c r="BG97" s="273">
        <v>0.011597534217950057</v>
      </c>
      <c r="BH97" s="273">
        <v>0</v>
      </c>
      <c r="BI97" s="273">
        <v>0</v>
      </c>
      <c r="BJ97" s="273">
        <v>0</v>
      </c>
      <c r="BK97" s="273">
        <v>1439696.5961227969</v>
      </c>
      <c r="BL97" s="273">
        <v>6117.65</v>
      </c>
    </row>
    <row r="98" spans="6:64" s="273" customFormat="1" ht="12.75">
      <c r="F98" s="273">
        <v>86</v>
      </c>
      <c r="G98" s="273" t="s">
        <v>34</v>
      </c>
      <c r="H98" s="273">
        <v>776</v>
      </c>
      <c r="I98" s="273">
        <v>124</v>
      </c>
      <c r="J98" s="273">
        <v>697</v>
      </c>
      <c r="K98" s="273">
        <v>351</v>
      </c>
      <c r="L98" s="273">
        <v>6550</v>
      </c>
      <c r="M98" s="273">
        <v>799</v>
      </c>
      <c r="N98" s="273">
        <v>502</v>
      </c>
      <c r="O98" s="273">
        <v>180</v>
      </c>
      <c r="P98" s="273">
        <v>8807</v>
      </c>
      <c r="Q98" s="273">
        <v>6</v>
      </c>
      <c r="R98" s="273">
        <v>19</v>
      </c>
      <c r="S98" s="273">
        <v>389.81</v>
      </c>
      <c r="T98" s="273">
        <v>22.5930581565378</v>
      </c>
      <c r="U98" s="273">
        <v>0</v>
      </c>
      <c r="V98" s="273">
        <v>0</v>
      </c>
      <c r="W98" s="273">
        <v>3970</v>
      </c>
      <c r="X98" s="273">
        <v>248</v>
      </c>
      <c r="Y98" s="273">
        <v>49</v>
      </c>
      <c r="Z98" s="273">
        <v>0.9719641089040756</v>
      </c>
      <c r="AA98" s="273">
        <v>12</v>
      </c>
      <c r="AB98" s="273">
        <v>12</v>
      </c>
      <c r="AC98" s="273">
        <v>0.8815022421754574</v>
      </c>
      <c r="AD98" s="273">
        <v>302</v>
      </c>
      <c r="AE98" s="273">
        <v>49</v>
      </c>
      <c r="AF98" s="273">
        <v>10</v>
      </c>
      <c r="AG98" s="273">
        <v>3</v>
      </c>
      <c r="AH98" s="273">
        <v>364</v>
      </c>
      <c r="AI98" s="273">
        <v>0.8217900610919042</v>
      </c>
      <c r="AJ98" s="273">
        <v>4339</v>
      </c>
      <c r="AK98" s="273">
        <v>288</v>
      </c>
      <c r="AL98" s="273">
        <v>0.7022619501671731</v>
      </c>
      <c r="AM98" s="273">
        <v>0.824268976544889</v>
      </c>
      <c r="AN98" s="273">
        <v>0</v>
      </c>
      <c r="AO98" s="273">
        <v>0</v>
      </c>
      <c r="AP98" s="273">
        <f t="shared" si="0"/>
        <v>0</v>
      </c>
      <c r="AQ98" s="273">
        <v>26314.203572351485</v>
      </c>
      <c r="AR98" s="273">
        <v>1249418.923229995</v>
      </c>
      <c r="AS98" s="273">
        <v>0</v>
      </c>
      <c r="AT98" s="273">
        <v>8807</v>
      </c>
      <c r="AU98" s="273">
        <v>0</v>
      </c>
      <c r="AV98" s="273">
        <v>0</v>
      </c>
      <c r="AW98" s="273">
        <v>0</v>
      </c>
      <c r="AX98" s="273">
        <v>0</v>
      </c>
      <c r="AY98" s="273">
        <v>389.81</v>
      </c>
      <c r="AZ98" s="273">
        <v>22.5930581565378</v>
      </c>
      <c r="BA98" s="273">
        <v>5415</v>
      </c>
      <c r="BB98" s="273">
        <v>0.6148518224139888</v>
      </c>
      <c r="BC98" s="273">
        <v>0</v>
      </c>
      <c r="BD98" s="273">
        <v>0</v>
      </c>
      <c r="BE98" s="273">
        <v>8647</v>
      </c>
      <c r="BF98" s="273">
        <v>8807</v>
      </c>
      <c r="BG98" s="273">
        <v>0.01850352723487915</v>
      </c>
      <c r="BH98" s="273">
        <v>0</v>
      </c>
      <c r="BI98" s="273">
        <v>0</v>
      </c>
      <c r="BJ98" s="273">
        <v>0</v>
      </c>
      <c r="BK98" s="273">
        <v>1420863.6008545675</v>
      </c>
      <c r="BL98" s="273">
        <v>6261.51</v>
      </c>
    </row>
    <row r="99" spans="6:64" s="273" customFormat="1" ht="12.75">
      <c r="F99" s="273">
        <v>111</v>
      </c>
      <c r="G99" s="273" t="s">
        <v>35</v>
      </c>
      <c r="H99" s="273">
        <v>1123</v>
      </c>
      <c r="I99" s="273">
        <v>173</v>
      </c>
      <c r="J99" s="273">
        <v>1168</v>
      </c>
      <c r="K99" s="273">
        <v>672</v>
      </c>
      <c r="L99" s="273">
        <v>14066</v>
      </c>
      <c r="M99" s="273">
        <v>2787</v>
      </c>
      <c r="N99" s="273">
        <v>1649</v>
      </c>
      <c r="O99" s="273">
        <v>539</v>
      </c>
      <c r="P99" s="273">
        <v>20164</v>
      </c>
      <c r="Q99" s="273">
        <v>3</v>
      </c>
      <c r="R99" s="273">
        <v>54</v>
      </c>
      <c r="S99" s="273">
        <v>676.25</v>
      </c>
      <c r="T99" s="273">
        <v>29.817375231053603</v>
      </c>
      <c r="U99" s="273">
        <v>0</v>
      </c>
      <c r="V99" s="273">
        <v>0</v>
      </c>
      <c r="W99" s="273">
        <v>7599</v>
      </c>
      <c r="X99" s="273">
        <v>188</v>
      </c>
      <c r="Y99" s="273">
        <v>70</v>
      </c>
      <c r="Z99" s="273">
        <v>1.014889095598158</v>
      </c>
      <c r="AA99" s="273">
        <v>71</v>
      </c>
      <c r="AB99" s="273">
        <v>71</v>
      </c>
      <c r="AC99" s="273">
        <v>2.2779900959035366</v>
      </c>
      <c r="AD99" s="273">
        <v>878</v>
      </c>
      <c r="AE99" s="273">
        <v>102</v>
      </c>
      <c r="AF99" s="273">
        <v>27</v>
      </c>
      <c r="AG99" s="273">
        <v>8</v>
      </c>
      <c r="AH99" s="273">
        <v>1015</v>
      </c>
      <c r="AI99" s="273">
        <v>1.000868107351714</v>
      </c>
      <c r="AJ99" s="273">
        <v>9252</v>
      </c>
      <c r="AK99" s="273">
        <v>1241</v>
      </c>
      <c r="AL99" s="273">
        <v>1.419163582049537</v>
      </c>
      <c r="AM99" s="273">
        <v>1.139122249295</v>
      </c>
      <c r="AN99" s="273">
        <v>0</v>
      </c>
      <c r="AO99" s="273">
        <v>0</v>
      </c>
      <c r="AP99" s="273">
        <f t="shared" si="0"/>
        <v>0</v>
      </c>
      <c r="AQ99" s="273">
        <v>-211195.58279307187</v>
      </c>
      <c r="AR99" s="273">
        <v>2793434.236897569</v>
      </c>
      <c r="AS99" s="273">
        <v>1</v>
      </c>
      <c r="AT99" s="273">
        <v>20164</v>
      </c>
      <c r="AU99" s="273">
        <v>0</v>
      </c>
      <c r="AV99" s="273">
        <v>0</v>
      </c>
      <c r="AW99" s="273">
        <v>0</v>
      </c>
      <c r="AX99" s="273">
        <v>0</v>
      </c>
      <c r="AY99" s="273">
        <v>676.25</v>
      </c>
      <c r="AZ99" s="273">
        <v>29.817375231053603</v>
      </c>
      <c r="BA99" s="273">
        <v>18052</v>
      </c>
      <c r="BB99" s="273">
        <v>0.8952588772069034</v>
      </c>
      <c r="BC99" s="273">
        <v>0</v>
      </c>
      <c r="BD99" s="273">
        <v>0</v>
      </c>
      <c r="BE99" s="273">
        <v>20545</v>
      </c>
      <c r="BF99" s="273">
        <v>20164</v>
      </c>
      <c r="BG99" s="273">
        <v>-0.018544658067656365</v>
      </c>
      <c r="BH99" s="273">
        <v>0</v>
      </c>
      <c r="BI99" s="273">
        <v>1</v>
      </c>
      <c r="BJ99" s="273">
        <v>4.959333465582226E-05</v>
      </c>
      <c r="BK99" s="273">
        <v>3817114.4518987443</v>
      </c>
      <c r="BL99" s="273">
        <v>6088.73</v>
      </c>
    </row>
    <row r="100" spans="6:64" s="273" customFormat="1" ht="12.75">
      <c r="F100" s="273">
        <v>90</v>
      </c>
      <c r="G100" s="273" t="s">
        <v>36</v>
      </c>
      <c r="H100" s="273">
        <v>201</v>
      </c>
      <c r="I100" s="273">
        <v>38</v>
      </c>
      <c r="J100" s="273">
        <v>205</v>
      </c>
      <c r="K100" s="273">
        <v>115</v>
      </c>
      <c r="L100" s="273">
        <v>2478</v>
      </c>
      <c r="M100" s="273">
        <v>594</v>
      </c>
      <c r="N100" s="273">
        <v>416</v>
      </c>
      <c r="O100" s="273">
        <v>138</v>
      </c>
      <c r="P100" s="273">
        <v>3827</v>
      </c>
      <c r="Q100" s="273">
        <v>1</v>
      </c>
      <c r="R100" s="273">
        <v>6</v>
      </c>
      <c r="S100" s="273">
        <v>1030.28</v>
      </c>
      <c r="T100" s="273">
        <v>3.7145242070116864</v>
      </c>
      <c r="U100" s="273">
        <v>0</v>
      </c>
      <c r="V100" s="273">
        <v>0</v>
      </c>
      <c r="W100" s="273">
        <v>1319</v>
      </c>
      <c r="X100" s="273">
        <v>173</v>
      </c>
      <c r="Y100" s="273">
        <v>22</v>
      </c>
      <c r="Z100" s="273">
        <v>0.8952438008648398</v>
      </c>
      <c r="AA100" s="273">
        <v>0</v>
      </c>
      <c r="AB100" s="273">
        <v>2</v>
      </c>
      <c r="AC100" s="273">
        <v>0.3380973019266289</v>
      </c>
      <c r="AD100" s="273">
        <v>349</v>
      </c>
      <c r="AE100" s="273">
        <v>19</v>
      </c>
      <c r="AF100" s="273">
        <v>3</v>
      </c>
      <c r="AG100" s="273">
        <v>2</v>
      </c>
      <c r="AH100" s="273">
        <v>373</v>
      </c>
      <c r="AI100" s="273">
        <v>1.937929022516114</v>
      </c>
      <c r="AJ100" s="273">
        <v>1556</v>
      </c>
      <c r="AK100" s="273">
        <v>169</v>
      </c>
      <c r="AL100" s="273">
        <v>1.149141244689099</v>
      </c>
      <c r="AM100" s="273">
        <v>1.62030821428411</v>
      </c>
      <c r="AN100" s="273">
        <v>0.05</v>
      </c>
      <c r="AO100" s="273">
        <v>0</v>
      </c>
      <c r="AP100" s="273">
        <f t="shared" si="0"/>
        <v>0.05</v>
      </c>
      <c r="AQ100" s="273">
        <v>50519.79779796116</v>
      </c>
      <c r="AR100" s="273">
        <v>2113119.0480048805</v>
      </c>
      <c r="AS100" s="273">
        <v>0</v>
      </c>
      <c r="AT100" s="273">
        <v>3827</v>
      </c>
      <c r="AU100" s="273">
        <v>0</v>
      </c>
      <c r="AV100" s="273">
        <v>0</v>
      </c>
      <c r="AW100" s="273">
        <v>0</v>
      </c>
      <c r="AX100" s="273">
        <v>0.68</v>
      </c>
      <c r="AY100" s="273">
        <v>1030.28</v>
      </c>
      <c r="AZ100" s="273">
        <v>3.7145242070116864</v>
      </c>
      <c r="BA100" s="273">
        <v>1598</v>
      </c>
      <c r="BB100" s="273">
        <v>0.4175594460412856</v>
      </c>
      <c r="BC100" s="273">
        <v>0</v>
      </c>
      <c r="BD100" s="273">
        <v>0</v>
      </c>
      <c r="BE100" s="273">
        <v>4065</v>
      </c>
      <c r="BF100" s="273">
        <v>3827</v>
      </c>
      <c r="BG100" s="273">
        <v>-0.05854858548585486</v>
      </c>
      <c r="BH100" s="273">
        <v>0</v>
      </c>
      <c r="BI100" s="273">
        <v>0</v>
      </c>
      <c r="BJ100" s="273">
        <v>0</v>
      </c>
      <c r="BK100" s="273">
        <v>717911.6332664373</v>
      </c>
      <c r="BL100" s="273">
        <v>7558.25</v>
      </c>
    </row>
    <row r="101" spans="6:64" s="273" customFormat="1" ht="12.75">
      <c r="F101" s="273">
        <v>91</v>
      </c>
      <c r="G101" s="273" t="s">
        <v>37</v>
      </c>
      <c r="H101" s="273">
        <v>41127</v>
      </c>
      <c r="I101" s="273">
        <v>5195</v>
      </c>
      <c r="J101" s="273">
        <v>29506</v>
      </c>
      <c r="K101" s="273">
        <v>15336</v>
      </c>
      <c r="L101" s="273">
        <v>462572</v>
      </c>
      <c r="M101" s="273">
        <v>51417</v>
      </c>
      <c r="N101" s="273">
        <v>28473</v>
      </c>
      <c r="O101" s="273">
        <v>11795</v>
      </c>
      <c r="P101" s="273">
        <v>595384</v>
      </c>
      <c r="Q101" s="273">
        <v>3172</v>
      </c>
      <c r="R101" s="273">
        <v>7300</v>
      </c>
      <c r="S101" s="273">
        <v>213.75</v>
      </c>
      <c r="T101" s="273">
        <v>2785.4222222222224</v>
      </c>
      <c r="U101" s="273">
        <v>1</v>
      </c>
      <c r="V101" s="273">
        <v>1</v>
      </c>
      <c r="W101" s="273">
        <v>288559</v>
      </c>
      <c r="X101" s="273">
        <v>461</v>
      </c>
      <c r="Y101" s="273">
        <v>3387</v>
      </c>
      <c r="Z101" s="273">
        <v>1.0365480266795166</v>
      </c>
      <c r="AA101" s="273">
        <v>1108</v>
      </c>
      <c r="AB101" s="273">
        <v>1108</v>
      </c>
      <c r="AC101" s="273">
        <v>1.2039619799291847</v>
      </c>
      <c r="AD101" s="273">
        <v>16181</v>
      </c>
      <c r="AE101" s="273">
        <v>2452</v>
      </c>
      <c r="AF101" s="273">
        <v>1030</v>
      </c>
      <c r="AG101" s="273">
        <v>270</v>
      </c>
      <c r="AH101" s="273">
        <v>19933</v>
      </c>
      <c r="AI101" s="273">
        <v>0.6656761610955594</v>
      </c>
      <c r="AJ101" s="273">
        <v>315022</v>
      </c>
      <c r="AK101" s="273">
        <v>23664</v>
      </c>
      <c r="AL101" s="273">
        <v>0.7947738563630765</v>
      </c>
      <c r="AM101" s="273">
        <v>0.811749282956074</v>
      </c>
      <c r="AN101" s="273">
        <v>0</v>
      </c>
      <c r="AO101" s="273">
        <v>0</v>
      </c>
      <c r="AP101" s="273">
        <f t="shared" si="0"/>
        <v>0</v>
      </c>
      <c r="AQ101" s="273">
        <v>-5538615.30365333</v>
      </c>
      <c r="AR101" s="273">
        <v>-311929863.5301002</v>
      </c>
      <c r="AS101" s="273">
        <v>1</v>
      </c>
      <c r="AT101" s="273">
        <v>595384</v>
      </c>
      <c r="AU101" s="273">
        <v>1</v>
      </c>
      <c r="AV101" s="273">
        <v>850</v>
      </c>
      <c r="AW101" s="273">
        <v>0.001427650054418661</v>
      </c>
      <c r="AX101" s="273">
        <v>0</v>
      </c>
      <c r="AY101" s="273">
        <v>213.75</v>
      </c>
      <c r="AZ101" s="273">
        <v>2785.4222222222224</v>
      </c>
      <c r="BA101" s="273">
        <v>578152</v>
      </c>
      <c r="BB101" s="273">
        <v>0.9710573344261855</v>
      </c>
      <c r="BC101" s="273">
        <v>1</v>
      </c>
      <c r="BD101" s="273">
        <v>0</v>
      </c>
      <c r="BE101" s="273">
        <v>576632</v>
      </c>
      <c r="BF101" s="273">
        <v>595384</v>
      </c>
      <c r="BG101" s="273">
        <v>0.032519874027109145</v>
      </c>
      <c r="BH101" s="273">
        <v>0</v>
      </c>
      <c r="BI101" s="273">
        <v>52</v>
      </c>
      <c r="BJ101" s="273">
        <v>8.733859156443573E-05</v>
      </c>
      <c r="BK101" s="273">
        <v>74051965.34861955</v>
      </c>
      <c r="BL101" s="273">
        <v>6369.13</v>
      </c>
    </row>
    <row r="102" spans="6:64" s="273" customFormat="1" ht="12.75">
      <c r="F102" s="273">
        <v>97</v>
      </c>
      <c r="G102" s="273" t="s">
        <v>38</v>
      </c>
      <c r="H102" s="273">
        <v>98</v>
      </c>
      <c r="I102" s="273">
        <v>13</v>
      </c>
      <c r="J102" s="273">
        <v>140</v>
      </c>
      <c r="K102" s="273">
        <v>94</v>
      </c>
      <c r="L102" s="273">
        <v>1598</v>
      </c>
      <c r="M102" s="273">
        <v>333</v>
      </c>
      <c r="N102" s="273">
        <v>272</v>
      </c>
      <c r="O102" s="273">
        <v>88</v>
      </c>
      <c r="P102" s="273">
        <v>2389</v>
      </c>
      <c r="Q102" s="273">
        <v>0</v>
      </c>
      <c r="R102" s="273">
        <v>1</v>
      </c>
      <c r="S102" s="273">
        <v>465.38</v>
      </c>
      <c r="T102" s="273">
        <v>5.13343933989428</v>
      </c>
      <c r="U102" s="273">
        <v>1</v>
      </c>
      <c r="V102" s="273">
        <v>0</v>
      </c>
      <c r="W102" s="273">
        <v>847</v>
      </c>
      <c r="X102" s="273">
        <v>150</v>
      </c>
      <c r="Y102" s="273">
        <v>20</v>
      </c>
      <c r="Z102" s="273">
        <v>0.8397017631326705</v>
      </c>
      <c r="AA102" s="273">
        <v>2</v>
      </c>
      <c r="AB102" s="273">
        <v>2</v>
      </c>
      <c r="AC102" s="273">
        <v>0.5416066866777768</v>
      </c>
      <c r="AD102" s="273">
        <v>137</v>
      </c>
      <c r="AE102" s="273">
        <v>15</v>
      </c>
      <c r="AF102" s="273">
        <v>4</v>
      </c>
      <c r="AG102" s="273">
        <v>0</v>
      </c>
      <c r="AH102" s="273">
        <v>156</v>
      </c>
      <c r="AI102" s="273">
        <v>1.2983624471751003</v>
      </c>
      <c r="AJ102" s="273">
        <v>983</v>
      </c>
      <c r="AK102" s="273">
        <v>86</v>
      </c>
      <c r="AL102" s="273">
        <v>0.9256381250447939</v>
      </c>
      <c r="AM102" s="273">
        <v>1.44730526789865</v>
      </c>
      <c r="AN102" s="273">
        <v>0</v>
      </c>
      <c r="AO102" s="273">
        <v>0</v>
      </c>
      <c r="AP102" s="273">
        <f t="shared" si="0"/>
        <v>0</v>
      </c>
      <c r="AQ102" s="273">
        <v>86034.37929508742</v>
      </c>
      <c r="AR102" s="273">
        <v>1874580.4374307685</v>
      </c>
      <c r="AS102" s="273">
        <v>1</v>
      </c>
      <c r="AT102" s="273">
        <v>2389</v>
      </c>
      <c r="AU102" s="273">
        <v>1</v>
      </c>
      <c r="AV102" s="273">
        <v>1925</v>
      </c>
      <c r="AW102" s="273">
        <v>0.8057764755127669</v>
      </c>
      <c r="AX102" s="273">
        <v>0</v>
      </c>
      <c r="AY102" s="273">
        <v>465.38</v>
      </c>
      <c r="AZ102" s="273">
        <v>5.13343933989428</v>
      </c>
      <c r="BA102" s="273">
        <v>850</v>
      </c>
      <c r="BB102" s="273">
        <v>0.35579740477187105</v>
      </c>
      <c r="BC102" s="273">
        <v>0</v>
      </c>
      <c r="BD102" s="273">
        <v>0</v>
      </c>
      <c r="BE102" s="273">
        <v>2489</v>
      </c>
      <c r="BF102" s="273">
        <v>2389</v>
      </c>
      <c r="BG102" s="273">
        <v>-0.040176777822418644</v>
      </c>
      <c r="BH102" s="273">
        <v>0</v>
      </c>
      <c r="BI102" s="273">
        <v>0</v>
      </c>
      <c r="BJ102" s="273">
        <v>0</v>
      </c>
      <c r="BK102" s="273">
        <v>626689.1334044905</v>
      </c>
      <c r="BL102" s="273">
        <v>7230.73</v>
      </c>
    </row>
    <row r="103" spans="6:64" s="273" customFormat="1" ht="12.75">
      <c r="F103" s="273">
        <v>98</v>
      </c>
      <c r="G103" s="273" t="s">
        <v>39</v>
      </c>
      <c r="H103" s="273">
        <v>1918</v>
      </c>
      <c r="I103" s="273">
        <v>323</v>
      </c>
      <c r="J103" s="273">
        <v>1822</v>
      </c>
      <c r="K103" s="273">
        <v>875</v>
      </c>
      <c r="L103" s="273">
        <v>16374</v>
      </c>
      <c r="M103" s="273">
        <v>2293</v>
      </c>
      <c r="N103" s="273">
        <v>1102</v>
      </c>
      <c r="O103" s="273">
        <v>333</v>
      </c>
      <c r="P103" s="273">
        <v>22020</v>
      </c>
      <c r="Q103" s="273">
        <v>16</v>
      </c>
      <c r="R103" s="273">
        <v>44</v>
      </c>
      <c r="S103" s="273">
        <v>463.17</v>
      </c>
      <c r="T103" s="273">
        <v>47.541939244769736</v>
      </c>
      <c r="U103" s="273">
        <v>0</v>
      </c>
      <c r="V103" s="273">
        <v>0</v>
      </c>
      <c r="W103" s="273">
        <v>9322</v>
      </c>
      <c r="X103" s="273">
        <v>300</v>
      </c>
      <c r="Y103" s="273">
        <v>101</v>
      </c>
      <c r="Z103" s="273">
        <v>1.0053661239867842</v>
      </c>
      <c r="AA103" s="273">
        <v>34</v>
      </c>
      <c r="AB103" s="273">
        <v>34</v>
      </c>
      <c r="AC103" s="273">
        <v>0.9989224507740486</v>
      </c>
      <c r="AD103" s="273">
        <v>671</v>
      </c>
      <c r="AE103" s="273">
        <v>165</v>
      </c>
      <c r="AF103" s="273">
        <v>24</v>
      </c>
      <c r="AG103" s="273">
        <v>1</v>
      </c>
      <c r="AH103" s="273">
        <v>861</v>
      </c>
      <c r="AI103" s="273">
        <v>0.7774515504859894</v>
      </c>
      <c r="AJ103" s="273">
        <v>10555</v>
      </c>
      <c r="AK103" s="273">
        <v>859</v>
      </c>
      <c r="AL103" s="273">
        <v>0.861055661786488</v>
      </c>
      <c r="AM103" s="273">
        <v>0.804545639924142</v>
      </c>
      <c r="AN103" s="273">
        <v>0</v>
      </c>
      <c r="AO103" s="273">
        <v>0</v>
      </c>
      <c r="AP103" s="273">
        <f t="shared" si="0"/>
        <v>0</v>
      </c>
      <c r="AQ103" s="273">
        <v>-6568.542668476701</v>
      </c>
      <c r="AR103" s="273">
        <v>-290359.1612644012</v>
      </c>
      <c r="AS103" s="273">
        <v>1</v>
      </c>
      <c r="AT103" s="273">
        <v>22020</v>
      </c>
      <c r="AU103" s="273">
        <v>0</v>
      </c>
      <c r="AV103" s="273">
        <v>0</v>
      </c>
      <c r="AW103" s="273">
        <v>0</v>
      </c>
      <c r="AX103" s="273">
        <v>0</v>
      </c>
      <c r="AY103" s="273">
        <v>463.17</v>
      </c>
      <c r="AZ103" s="273">
        <v>47.541939244769736</v>
      </c>
      <c r="BA103" s="273">
        <v>17400</v>
      </c>
      <c r="BB103" s="273">
        <v>0.7901907356948229</v>
      </c>
      <c r="BC103" s="273">
        <v>0</v>
      </c>
      <c r="BD103" s="273">
        <v>0</v>
      </c>
      <c r="BE103" s="273">
        <v>21747</v>
      </c>
      <c r="BF103" s="273">
        <v>22020</v>
      </c>
      <c r="BG103" s="273">
        <v>0.012553455649055042</v>
      </c>
      <c r="BH103" s="273">
        <v>0</v>
      </c>
      <c r="BI103" s="273">
        <v>0</v>
      </c>
      <c r="BJ103" s="273">
        <v>0</v>
      </c>
      <c r="BK103" s="273">
        <v>3642653.839376491</v>
      </c>
      <c r="BL103" s="273">
        <v>5869.33</v>
      </c>
    </row>
    <row r="104" spans="6:64" s="273" customFormat="1" ht="12.75">
      <c r="F104" s="273">
        <v>99</v>
      </c>
      <c r="G104" s="273" t="s">
        <v>40</v>
      </c>
      <c r="H104" s="273">
        <v>120</v>
      </c>
      <c r="I104" s="273">
        <v>16</v>
      </c>
      <c r="J104" s="273">
        <v>93</v>
      </c>
      <c r="K104" s="273">
        <v>54</v>
      </c>
      <c r="L104" s="273">
        <v>1300</v>
      </c>
      <c r="M104" s="273">
        <v>203</v>
      </c>
      <c r="N104" s="273">
        <v>143</v>
      </c>
      <c r="O104" s="273">
        <v>82</v>
      </c>
      <c r="P104" s="273">
        <v>1848</v>
      </c>
      <c r="Q104" s="273">
        <v>0</v>
      </c>
      <c r="R104" s="273">
        <v>12</v>
      </c>
      <c r="S104" s="273">
        <v>331.16</v>
      </c>
      <c r="T104" s="273">
        <v>5.580384104360429</v>
      </c>
      <c r="U104" s="273">
        <v>0</v>
      </c>
      <c r="V104" s="273">
        <v>0</v>
      </c>
      <c r="W104" s="273">
        <v>777</v>
      </c>
      <c r="X104" s="273">
        <v>230</v>
      </c>
      <c r="Y104" s="273">
        <v>8</v>
      </c>
      <c r="Z104" s="273">
        <v>0.7287650776444786</v>
      </c>
      <c r="AA104" s="273">
        <v>0</v>
      </c>
      <c r="AB104" s="273">
        <v>2</v>
      </c>
      <c r="AC104" s="273">
        <v>0.7001614580482732</v>
      </c>
      <c r="AD104" s="273">
        <v>150</v>
      </c>
      <c r="AE104" s="273">
        <v>11</v>
      </c>
      <c r="AF104" s="273">
        <v>3</v>
      </c>
      <c r="AG104" s="273">
        <v>0</v>
      </c>
      <c r="AH104" s="273">
        <v>164</v>
      </c>
      <c r="AI104" s="273">
        <v>1.7645313483510086</v>
      </c>
      <c r="AJ104" s="273">
        <v>873</v>
      </c>
      <c r="AK104" s="273">
        <v>68</v>
      </c>
      <c r="AL104" s="273">
        <v>0.8241209785888569</v>
      </c>
      <c r="AM104" s="273">
        <v>1.32390615891301</v>
      </c>
      <c r="AN104" s="273">
        <v>0</v>
      </c>
      <c r="AO104" s="273">
        <v>0</v>
      </c>
      <c r="AP104" s="273">
        <f t="shared" si="0"/>
        <v>0</v>
      </c>
      <c r="AQ104" s="273">
        <v>83056.90863813274</v>
      </c>
      <c r="AR104" s="273">
        <v>1216865.7899999993</v>
      </c>
      <c r="AS104" s="273">
        <v>1</v>
      </c>
      <c r="AT104" s="273">
        <v>1848</v>
      </c>
      <c r="AU104" s="273">
        <v>0</v>
      </c>
      <c r="AV104" s="273">
        <v>0</v>
      </c>
      <c r="AW104" s="273">
        <v>0</v>
      </c>
      <c r="AX104" s="273">
        <v>0</v>
      </c>
      <c r="AY104" s="273">
        <v>331.16</v>
      </c>
      <c r="AZ104" s="273">
        <v>5.580384104360429</v>
      </c>
      <c r="BA104" s="273">
        <v>827</v>
      </c>
      <c r="BB104" s="273">
        <v>0.4475108225108225</v>
      </c>
      <c r="BC104" s="273">
        <v>0</v>
      </c>
      <c r="BD104" s="273">
        <v>0</v>
      </c>
      <c r="BE104" s="273">
        <v>1918</v>
      </c>
      <c r="BF104" s="273">
        <v>1848</v>
      </c>
      <c r="BG104" s="273">
        <v>-0.0364963503649635</v>
      </c>
      <c r="BH104" s="273">
        <v>0</v>
      </c>
      <c r="BI104" s="273">
        <v>0</v>
      </c>
      <c r="BJ104" s="273">
        <v>0</v>
      </c>
      <c r="BK104" s="273">
        <v>544202.594283484</v>
      </c>
      <c r="BL104" s="273">
        <v>7277.74</v>
      </c>
    </row>
    <row r="105" spans="6:64" s="273" customFormat="1" ht="12.75">
      <c r="F105" s="273">
        <v>102</v>
      </c>
      <c r="G105" s="273" t="s">
        <v>41</v>
      </c>
      <c r="H105" s="273">
        <v>718</v>
      </c>
      <c r="I105" s="273">
        <v>91</v>
      </c>
      <c r="J105" s="273">
        <v>627</v>
      </c>
      <c r="K105" s="273">
        <v>340</v>
      </c>
      <c r="L105" s="273">
        <v>7437</v>
      </c>
      <c r="M105" s="273">
        <v>1271</v>
      </c>
      <c r="N105" s="273">
        <v>843</v>
      </c>
      <c r="O105" s="273">
        <v>369</v>
      </c>
      <c r="P105" s="273">
        <v>10638</v>
      </c>
      <c r="Q105" s="273">
        <v>0</v>
      </c>
      <c r="R105" s="273">
        <v>26</v>
      </c>
      <c r="S105" s="273">
        <v>532.62</v>
      </c>
      <c r="T105" s="273">
        <v>19.97296383913484</v>
      </c>
      <c r="U105" s="273">
        <v>0</v>
      </c>
      <c r="V105" s="273">
        <v>0</v>
      </c>
      <c r="W105" s="273">
        <v>4423</v>
      </c>
      <c r="X105" s="273">
        <v>544</v>
      </c>
      <c r="Y105" s="273">
        <v>67</v>
      </c>
      <c r="Z105" s="273">
        <v>0.9054318331092885</v>
      </c>
      <c r="AA105" s="273">
        <v>11</v>
      </c>
      <c r="AB105" s="273">
        <v>11</v>
      </c>
      <c r="AC105" s="273">
        <v>0.6689641905999858</v>
      </c>
      <c r="AD105" s="273">
        <v>636</v>
      </c>
      <c r="AE105" s="273">
        <v>71</v>
      </c>
      <c r="AF105" s="273">
        <v>19</v>
      </c>
      <c r="AG105" s="273">
        <v>5</v>
      </c>
      <c r="AH105" s="273">
        <v>731</v>
      </c>
      <c r="AI105" s="273">
        <v>1.3662962871890447</v>
      </c>
      <c r="AJ105" s="273">
        <v>4908</v>
      </c>
      <c r="AK105" s="273">
        <v>371</v>
      </c>
      <c r="AL105" s="273">
        <v>0.7997710068444519</v>
      </c>
      <c r="AM105" s="273">
        <v>1.18600131974205</v>
      </c>
      <c r="AN105" s="273">
        <v>0</v>
      </c>
      <c r="AO105" s="273">
        <v>0</v>
      </c>
      <c r="AP105" s="273">
        <f t="shared" si="0"/>
        <v>0</v>
      </c>
      <c r="AQ105" s="273">
        <v>66100.35522380471</v>
      </c>
      <c r="AR105" s="273">
        <v>5441093.095463288</v>
      </c>
      <c r="AS105" s="273">
        <v>1</v>
      </c>
      <c r="AT105" s="273">
        <v>10638</v>
      </c>
      <c r="AU105" s="273">
        <v>0</v>
      </c>
      <c r="AV105" s="273">
        <v>0</v>
      </c>
      <c r="AW105" s="273">
        <v>0</v>
      </c>
      <c r="AX105" s="273">
        <v>0</v>
      </c>
      <c r="AY105" s="273">
        <v>532.62</v>
      </c>
      <c r="AZ105" s="273">
        <v>19.97296383913484</v>
      </c>
      <c r="BA105" s="273">
        <v>7297</v>
      </c>
      <c r="BB105" s="273">
        <v>0.6859372062417748</v>
      </c>
      <c r="BC105" s="273">
        <v>0</v>
      </c>
      <c r="BD105" s="273">
        <v>0</v>
      </c>
      <c r="BE105" s="273">
        <v>10703</v>
      </c>
      <c r="BF105" s="273">
        <v>10638</v>
      </c>
      <c r="BG105" s="273">
        <v>-0.006073063627020462</v>
      </c>
      <c r="BH105" s="273">
        <v>0</v>
      </c>
      <c r="BI105" s="273">
        <v>0</v>
      </c>
      <c r="BJ105" s="273">
        <v>0</v>
      </c>
      <c r="BK105" s="273">
        <v>2088812.4256505854</v>
      </c>
      <c r="BL105" s="273">
        <v>6353.9</v>
      </c>
    </row>
    <row r="106" spans="6:64" s="273" customFormat="1" ht="12.75">
      <c r="F106" s="273">
        <v>103</v>
      </c>
      <c r="G106" s="273" t="s">
        <v>42</v>
      </c>
      <c r="H106" s="273">
        <v>186</v>
      </c>
      <c r="I106" s="273">
        <v>29</v>
      </c>
      <c r="J106" s="273">
        <v>184</v>
      </c>
      <c r="K106" s="273">
        <v>90</v>
      </c>
      <c r="L106" s="273">
        <v>1785</v>
      </c>
      <c r="M106" s="273">
        <v>258</v>
      </c>
      <c r="N106" s="273">
        <v>192</v>
      </c>
      <c r="O106" s="273">
        <v>82</v>
      </c>
      <c r="P106" s="273">
        <v>2503</v>
      </c>
      <c r="Q106" s="273">
        <v>0</v>
      </c>
      <c r="R106" s="273">
        <v>6</v>
      </c>
      <c r="S106" s="273">
        <v>147.94</v>
      </c>
      <c r="T106" s="273">
        <v>16.919021224820874</v>
      </c>
      <c r="U106" s="273">
        <v>0</v>
      </c>
      <c r="V106" s="273">
        <v>0</v>
      </c>
      <c r="W106" s="273">
        <v>1017</v>
      </c>
      <c r="X106" s="273">
        <v>128</v>
      </c>
      <c r="Y106" s="273">
        <v>13</v>
      </c>
      <c r="Z106" s="273">
        <v>0.904904941830933</v>
      </c>
      <c r="AA106" s="273">
        <v>1</v>
      </c>
      <c r="AB106" s="273">
        <v>2</v>
      </c>
      <c r="AC106" s="273">
        <v>0.5169390229617294</v>
      </c>
      <c r="AD106" s="273">
        <v>138</v>
      </c>
      <c r="AE106" s="273">
        <v>23</v>
      </c>
      <c r="AF106" s="273">
        <v>3</v>
      </c>
      <c r="AG106" s="273">
        <v>0</v>
      </c>
      <c r="AH106" s="273">
        <v>164</v>
      </c>
      <c r="AI106" s="273">
        <v>1.3027782388144882</v>
      </c>
      <c r="AJ106" s="273">
        <v>1193</v>
      </c>
      <c r="AK106" s="273">
        <v>127</v>
      </c>
      <c r="AL106" s="273">
        <v>1.1263142475361811</v>
      </c>
      <c r="AM106" s="273">
        <v>1.14023000198672</v>
      </c>
      <c r="AN106" s="273">
        <v>0</v>
      </c>
      <c r="AO106" s="273">
        <v>0</v>
      </c>
      <c r="AP106" s="273">
        <f t="shared" si="0"/>
        <v>0</v>
      </c>
      <c r="AQ106" s="273">
        <v>46918.21716419887</v>
      </c>
      <c r="AR106" s="273">
        <v>1809652.7147609752</v>
      </c>
      <c r="AS106" s="273">
        <v>1</v>
      </c>
      <c r="AT106" s="273">
        <v>2503</v>
      </c>
      <c r="AU106" s="273">
        <v>0</v>
      </c>
      <c r="AV106" s="273">
        <v>0</v>
      </c>
      <c r="AW106" s="273">
        <v>0</v>
      </c>
      <c r="AX106" s="273">
        <v>0</v>
      </c>
      <c r="AY106" s="273">
        <v>147.94</v>
      </c>
      <c r="AZ106" s="273">
        <v>16.919021224820874</v>
      </c>
      <c r="BA106" s="273">
        <v>1505</v>
      </c>
      <c r="BB106" s="273">
        <v>0.6012784658409908</v>
      </c>
      <c r="BC106" s="273">
        <v>0</v>
      </c>
      <c r="BD106" s="273">
        <v>0</v>
      </c>
      <c r="BE106" s="273">
        <v>2537</v>
      </c>
      <c r="BF106" s="273">
        <v>2503</v>
      </c>
      <c r="BG106" s="273">
        <v>-0.013401655498620418</v>
      </c>
      <c r="BH106" s="273">
        <v>0</v>
      </c>
      <c r="BI106" s="273">
        <v>0</v>
      </c>
      <c r="BJ106" s="273">
        <v>0</v>
      </c>
      <c r="BK106" s="273">
        <v>496896.19869820366</v>
      </c>
      <c r="BL106" s="273">
        <v>6459.49</v>
      </c>
    </row>
    <row r="107" spans="6:64" s="273" customFormat="1" ht="12.75">
      <c r="F107" s="273">
        <v>105</v>
      </c>
      <c r="G107" s="273" t="s">
        <v>43</v>
      </c>
      <c r="H107" s="273">
        <v>95</v>
      </c>
      <c r="I107" s="273">
        <v>14</v>
      </c>
      <c r="J107" s="273">
        <v>127</v>
      </c>
      <c r="K107" s="273">
        <v>68</v>
      </c>
      <c r="L107" s="273">
        <v>1807</v>
      </c>
      <c r="M107" s="273">
        <v>397</v>
      </c>
      <c r="N107" s="273">
        <v>290</v>
      </c>
      <c r="O107" s="273">
        <v>83</v>
      </c>
      <c r="P107" s="273">
        <v>2672</v>
      </c>
      <c r="Q107" s="273">
        <v>0</v>
      </c>
      <c r="R107" s="273">
        <v>4</v>
      </c>
      <c r="S107" s="273">
        <v>1421.05</v>
      </c>
      <c r="T107" s="273">
        <v>1.880299778332923</v>
      </c>
      <c r="U107" s="273">
        <v>0</v>
      </c>
      <c r="V107" s="273">
        <v>0</v>
      </c>
      <c r="W107" s="273">
        <v>857</v>
      </c>
      <c r="X107" s="273">
        <v>145</v>
      </c>
      <c r="Y107" s="273">
        <v>6</v>
      </c>
      <c r="Z107" s="273">
        <v>0.8654533948792558</v>
      </c>
      <c r="AA107" s="273">
        <v>4</v>
      </c>
      <c r="AB107" s="273">
        <v>2</v>
      </c>
      <c r="AC107" s="273">
        <v>0.4842434036202129</v>
      </c>
      <c r="AD107" s="273">
        <v>254</v>
      </c>
      <c r="AE107" s="273">
        <v>19</v>
      </c>
      <c r="AF107" s="273">
        <v>8</v>
      </c>
      <c r="AG107" s="273">
        <v>0</v>
      </c>
      <c r="AH107" s="273">
        <v>281</v>
      </c>
      <c r="AI107" s="273">
        <v>2.091016035358776</v>
      </c>
      <c r="AJ107" s="273">
        <v>1065</v>
      </c>
      <c r="AK107" s="273">
        <v>159</v>
      </c>
      <c r="AL107" s="273">
        <v>1.579587968447714</v>
      </c>
      <c r="AM107" s="273">
        <v>1.83263224346419</v>
      </c>
      <c r="AN107" s="273">
        <v>0.0800000000000001</v>
      </c>
      <c r="AO107" s="273">
        <v>0</v>
      </c>
      <c r="AP107" s="273">
        <f t="shared" si="0"/>
        <v>0.0800000000000001</v>
      </c>
      <c r="AQ107" s="273">
        <v>133478.1041463446</v>
      </c>
      <c r="AR107" s="273">
        <v>2138726.094666665</v>
      </c>
      <c r="AS107" s="273">
        <v>0</v>
      </c>
      <c r="AT107" s="273">
        <v>2672</v>
      </c>
      <c r="AU107" s="273">
        <v>0</v>
      </c>
      <c r="AV107" s="273">
        <v>0</v>
      </c>
      <c r="AW107" s="273">
        <v>0</v>
      </c>
      <c r="AX107" s="273">
        <v>1.4300333333333333</v>
      </c>
      <c r="AY107" s="273">
        <v>1421.05</v>
      </c>
      <c r="AZ107" s="273">
        <v>1.880299778332923</v>
      </c>
      <c r="BA107" s="273">
        <v>1423</v>
      </c>
      <c r="BB107" s="273">
        <v>0.5325598802395209</v>
      </c>
      <c r="BC107" s="273">
        <v>0</v>
      </c>
      <c r="BD107" s="273">
        <v>0</v>
      </c>
      <c r="BE107" s="273">
        <v>2877</v>
      </c>
      <c r="BF107" s="273">
        <v>2672</v>
      </c>
      <c r="BG107" s="273">
        <v>-0.07125477928397636</v>
      </c>
      <c r="BH107" s="273">
        <v>1</v>
      </c>
      <c r="BI107" s="273">
        <v>0</v>
      </c>
      <c r="BJ107" s="273">
        <v>0</v>
      </c>
      <c r="BK107" s="273">
        <v>602665.7553519777</v>
      </c>
      <c r="BL107" s="273">
        <v>8292.59</v>
      </c>
    </row>
    <row r="108" spans="6:64" s="273" customFormat="1" ht="12.75">
      <c r="F108" s="273">
        <v>106</v>
      </c>
      <c r="G108" s="273" t="s">
        <v>44</v>
      </c>
      <c r="H108" s="273">
        <v>3564</v>
      </c>
      <c r="I108" s="273">
        <v>503</v>
      </c>
      <c r="J108" s="273">
        <v>3060</v>
      </c>
      <c r="K108" s="273">
        <v>1616</v>
      </c>
      <c r="L108" s="273">
        <v>34226</v>
      </c>
      <c r="M108" s="273">
        <v>4258</v>
      </c>
      <c r="N108" s="273">
        <v>2594</v>
      </c>
      <c r="O108" s="273">
        <v>885</v>
      </c>
      <c r="P108" s="273">
        <v>45527</v>
      </c>
      <c r="Q108" s="273">
        <v>48</v>
      </c>
      <c r="R108" s="273">
        <v>212</v>
      </c>
      <c r="S108" s="273">
        <v>322.61</v>
      </c>
      <c r="T108" s="273">
        <v>141.12085800192182</v>
      </c>
      <c r="U108" s="273">
        <v>0</v>
      </c>
      <c r="V108" s="273">
        <v>0</v>
      </c>
      <c r="W108" s="273">
        <v>20509</v>
      </c>
      <c r="X108" s="273">
        <v>140</v>
      </c>
      <c r="Y108" s="273">
        <v>184</v>
      </c>
      <c r="Z108" s="273">
        <v>1.03396080354977</v>
      </c>
      <c r="AA108" s="273">
        <v>87</v>
      </c>
      <c r="AB108" s="273">
        <v>87</v>
      </c>
      <c r="AC108" s="273">
        <v>1.2362900979547211</v>
      </c>
      <c r="AD108" s="273">
        <v>1605</v>
      </c>
      <c r="AE108" s="273">
        <v>243</v>
      </c>
      <c r="AF108" s="273">
        <v>63</v>
      </c>
      <c r="AG108" s="273">
        <v>6</v>
      </c>
      <c r="AH108" s="273">
        <v>1917</v>
      </c>
      <c r="AI108" s="273">
        <v>0.8372218934100558</v>
      </c>
      <c r="AJ108" s="273">
        <v>22624</v>
      </c>
      <c r="AK108" s="273">
        <v>1737</v>
      </c>
      <c r="AL108" s="273">
        <v>0.8123192159634752</v>
      </c>
      <c r="AM108" s="273">
        <v>0.866980979675953</v>
      </c>
      <c r="AN108" s="273">
        <v>0</v>
      </c>
      <c r="AO108" s="273">
        <v>0</v>
      </c>
      <c r="AP108" s="273">
        <f t="shared" si="0"/>
        <v>0</v>
      </c>
      <c r="AQ108" s="273">
        <v>-44193.19768912345</v>
      </c>
      <c r="AR108" s="273">
        <v>-8685192.523325725</v>
      </c>
      <c r="AS108" s="273">
        <v>1</v>
      </c>
      <c r="AT108" s="273">
        <v>45527</v>
      </c>
      <c r="AU108" s="273">
        <v>0</v>
      </c>
      <c r="AV108" s="273">
        <v>0</v>
      </c>
      <c r="AW108" s="273">
        <v>0</v>
      </c>
      <c r="AX108" s="273">
        <v>0</v>
      </c>
      <c r="AY108" s="273">
        <v>322.61</v>
      </c>
      <c r="AZ108" s="273">
        <v>141.12085800192182</v>
      </c>
      <c r="BA108" s="273">
        <v>42013</v>
      </c>
      <c r="BB108" s="273">
        <v>0.9228150328376568</v>
      </c>
      <c r="BC108" s="273">
        <v>0</v>
      </c>
      <c r="BD108" s="273">
        <v>0</v>
      </c>
      <c r="BE108" s="273">
        <v>44987</v>
      </c>
      <c r="BF108" s="273">
        <v>45527</v>
      </c>
      <c r="BG108" s="273">
        <v>0.012003467668437549</v>
      </c>
      <c r="BH108" s="273">
        <v>0</v>
      </c>
      <c r="BI108" s="273">
        <v>1</v>
      </c>
      <c r="BJ108" s="273">
        <v>2.1964987809431767E-05</v>
      </c>
      <c r="BK108" s="273">
        <v>6773243.082759159</v>
      </c>
      <c r="BL108" s="273">
        <v>5912.44</v>
      </c>
    </row>
    <row r="109" spans="6:64" s="273" customFormat="1" ht="12.75">
      <c r="F109" s="273">
        <v>283</v>
      </c>
      <c r="G109" s="273" t="s">
        <v>45</v>
      </c>
      <c r="H109" s="273">
        <v>145</v>
      </c>
      <c r="I109" s="273">
        <v>36</v>
      </c>
      <c r="J109" s="273">
        <v>121</v>
      </c>
      <c r="K109" s="273">
        <v>77</v>
      </c>
      <c r="L109" s="273">
        <v>1481</v>
      </c>
      <c r="M109" s="273">
        <v>257</v>
      </c>
      <c r="N109" s="273">
        <v>182</v>
      </c>
      <c r="O109" s="273">
        <v>65</v>
      </c>
      <c r="P109" s="273">
        <v>2130</v>
      </c>
      <c r="Q109" s="273">
        <v>0</v>
      </c>
      <c r="R109" s="273">
        <v>7</v>
      </c>
      <c r="S109" s="273">
        <v>187.74</v>
      </c>
      <c r="T109" s="273">
        <v>11.345477788430808</v>
      </c>
      <c r="U109" s="273">
        <v>0</v>
      </c>
      <c r="V109" s="273">
        <v>0</v>
      </c>
      <c r="W109" s="273">
        <v>875</v>
      </c>
      <c r="X109" s="273">
        <v>134</v>
      </c>
      <c r="Y109" s="273">
        <v>14</v>
      </c>
      <c r="Z109" s="273">
        <v>0.8728631609747902</v>
      </c>
      <c r="AA109" s="273">
        <v>3</v>
      </c>
      <c r="AB109" s="273">
        <v>2</v>
      </c>
      <c r="AC109" s="273">
        <v>0.6074640255742765</v>
      </c>
      <c r="AD109" s="273">
        <v>109</v>
      </c>
      <c r="AE109" s="273">
        <v>11</v>
      </c>
      <c r="AF109" s="273">
        <v>3</v>
      </c>
      <c r="AG109" s="273">
        <v>0</v>
      </c>
      <c r="AH109" s="273">
        <v>123</v>
      </c>
      <c r="AI109" s="273">
        <v>1.148188004138262</v>
      </c>
      <c r="AJ109" s="273">
        <v>976</v>
      </c>
      <c r="AK109" s="273">
        <v>79</v>
      </c>
      <c r="AL109" s="273">
        <v>0.8563939177063902</v>
      </c>
      <c r="AM109" s="273">
        <v>1.13237601647605</v>
      </c>
      <c r="AN109" s="273">
        <v>0</v>
      </c>
      <c r="AO109" s="273">
        <v>0</v>
      </c>
      <c r="AP109" s="273">
        <f t="shared" si="0"/>
        <v>0</v>
      </c>
      <c r="AQ109" s="273">
        <v>6523.89735085424</v>
      </c>
      <c r="AR109" s="273">
        <v>1257810.508839024</v>
      </c>
      <c r="AS109" s="273">
        <v>1</v>
      </c>
      <c r="AT109" s="273">
        <v>2130</v>
      </c>
      <c r="AU109" s="273">
        <v>0</v>
      </c>
      <c r="AV109" s="273">
        <v>0</v>
      </c>
      <c r="AW109" s="273">
        <v>0</v>
      </c>
      <c r="AX109" s="273">
        <v>0</v>
      </c>
      <c r="AY109" s="273">
        <v>187.74</v>
      </c>
      <c r="AZ109" s="273">
        <v>11.345477788430808</v>
      </c>
      <c r="BA109" s="273">
        <v>1073</v>
      </c>
      <c r="BB109" s="273">
        <v>0.503755868544601</v>
      </c>
      <c r="BC109" s="273">
        <v>0</v>
      </c>
      <c r="BD109" s="273">
        <v>0</v>
      </c>
      <c r="BE109" s="273">
        <v>2136</v>
      </c>
      <c r="BF109" s="273">
        <v>2130</v>
      </c>
      <c r="BG109" s="273">
        <v>-0.0028089887640449437</v>
      </c>
      <c r="BH109" s="273">
        <v>0</v>
      </c>
      <c r="BI109" s="273">
        <v>0</v>
      </c>
      <c r="BJ109" s="273">
        <v>0</v>
      </c>
      <c r="BK109" s="273">
        <v>473586.95821198815</v>
      </c>
      <c r="BL109" s="273">
        <v>6737.91</v>
      </c>
    </row>
    <row r="110" spans="6:64" s="273" customFormat="1" ht="12.75">
      <c r="F110" s="273">
        <v>108</v>
      </c>
      <c r="G110" s="273" t="s">
        <v>46</v>
      </c>
      <c r="H110" s="273">
        <v>850</v>
      </c>
      <c r="I110" s="273">
        <v>128</v>
      </c>
      <c r="J110" s="273">
        <v>812</v>
      </c>
      <c r="K110" s="273">
        <v>376</v>
      </c>
      <c r="L110" s="273">
        <v>7664</v>
      </c>
      <c r="M110" s="273">
        <v>1054</v>
      </c>
      <c r="N110" s="273">
        <v>695</v>
      </c>
      <c r="O110" s="273">
        <v>270</v>
      </c>
      <c r="P110" s="273">
        <v>10533</v>
      </c>
      <c r="Q110" s="273">
        <v>2</v>
      </c>
      <c r="R110" s="273">
        <v>20</v>
      </c>
      <c r="S110" s="273">
        <v>463.77</v>
      </c>
      <c r="T110" s="273">
        <v>22.711688983763505</v>
      </c>
      <c r="U110" s="273">
        <v>0</v>
      </c>
      <c r="V110" s="273">
        <v>0</v>
      </c>
      <c r="W110" s="273">
        <v>4113</v>
      </c>
      <c r="X110" s="273">
        <v>296</v>
      </c>
      <c r="Y110" s="273">
        <v>55</v>
      </c>
      <c r="Z110" s="273">
        <v>0.9609037503921258</v>
      </c>
      <c r="AA110" s="273">
        <v>19</v>
      </c>
      <c r="AB110" s="273">
        <v>19</v>
      </c>
      <c r="AC110" s="273">
        <v>1.1670022365418669</v>
      </c>
      <c r="AD110" s="273">
        <v>510</v>
      </c>
      <c r="AE110" s="273">
        <v>76</v>
      </c>
      <c r="AF110" s="273">
        <v>14</v>
      </c>
      <c r="AG110" s="273">
        <v>8</v>
      </c>
      <c r="AH110" s="273">
        <v>608</v>
      </c>
      <c r="AI110" s="273">
        <v>1.1477280408528014</v>
      </c>
      <c r="AJ110" s="273">
        <v>4788</v>
      </c>
      <c r="AK110" s="273">
        <v>418</v>
      </c>
      <c r="AL110" s="273">
        <v>0.9236734077251159</v>
      </c>
      <c r="AM110" s="273">
        <v>1.09336118768849</v>
      </c>
      <c r="AN110" s="273">
        <v>0</v>
      </c>
      <c r="AO110" s="273">
        <v>0</v>
      </c>
      <c r="AP110" s="273">
        <f t="shared" si="0"/>
        <v>0</v>
      </c>
      <c r="AQ110" s="273">
        <v>188528.23985093832</v>
      </c>
      <c r="AR110" s="273">
        <v>3915878.4832249987</v>
      </c>
      <c r="AS110" s="273">
        <v>1</v>
      </c>
      <c r="AT110" s="273">
        <v>10533</v>
      </c>
      <c r="AU110" s="273">
        <v>0</v>
      </c>
      <c r="AV110" s="273">
        <v>0</v>
      </c>
      <c r="AW110" s="273">
        <v>0</v>
      </c>
      <c r="AX110" s="273">
        <v>0</v>
      </c>
      <c r="AY110" s="273">
        <v>463.77</v>
      </c>
      <c r="AZ110" s="273">
        <v>22.711688983763505</v>
      </c>
      <c r="BA110" s="273">
        <v>6299</v>
      </c>
      <c r="BB110" s="273">
        <v>0.5980252539637331</v>
      </c>
      <c r="BC110" s="273">
        <v>0</v>
      </c>
      <c r="BD110" s="273">
        <v>0</v>
      </c>
      <c r="BE110" s="273">
        <v>10327</v>
      </c>
      <c r="BF110" s="273">
        <v>10533</v>
      </c>
      <c r="BG110" s="273">
        <v>0.019947709886704756</v>
      </c>
      <c r="BH110" s="273">
        <v>0</v>
      </c>
      <c r="BI110" s="273">
        <v>0</v>
      </c>
      <c r="BJ110" s="273">
        <v>0</v>
      </c>
      <c r="BK110" s="273">
        <v>1678122.2362558402</v>
      </c>
      <c r="BL110" s="273">
        <v>6253.5</v>
      </c>
    </row>
    <row r="111" spans="6:64" s="273" customFormat="1" ht="12.75">
      <c r="F111" s="273">
        <v>109</v>
      </c>
      <c r="G111" s="273" t="s">
        <v>47</v>
      </c>
      <c r="H111" s="273">
        <v>4802</v>
      </c>
      <c r="I111" s="273">
        <v>653</v>
      </c>
      <c r="J111" s="273">
        <v>4074</v>
      </c>
      <c r="K111" s="273">
        <v>2184</v>
      </c>
      <c r="L111" s="273">
        <v>48404</v>
      </c>
      <c r="M111" s="273">
        <v>7343</v>
      </c>
      <c r="N111" s="273">
        <v>4760</v>
      </c>
      <c r="O111" s="273">
        <v>1961</v>
      </c>
      <c r="P111" s="273">
        <v>67270</v>
      </c>
      <c r="Q111" s="273">
        <v>20</v>
      </c>
      <c r="R111" s="273">
        <v>214</v>
      </c>
      <c r="S111" s="273">
        <v>1785.78</v>
      </c>
      <c r="T111" s="273">
        <v>37.66981375085397</v>
      </c>
      <c r="U111" s="273">
        <v>0</v>
      </c>
      <c r="V111" s="273">
        <v>0</v>
      </c>
      <c r="W111" s="273">
        <v>28295</v>
      </c>
      <c r="X111" s="273">
        <v>915</v>
      </c>
      <c r="Y111" s="273">
        <v>275</v>
      </c>
      <c r="Z111" s="273">
        <v>1.0063742594513045</v>
      </c>
      <c r="AA111" s="273">
        <v>121</v>
      </c>
      <c r="AB111" s="273">
        <v>121</v>
      </c>
      <c r="AC111" s="273">
        <v>1.1636814576427699</v>
      </c>
      <c r="AD111" s="273">
        <v>3082</v>
      </c>
      <c r="AE111" s="273">
        <v>394</v>
      </c>
      <c r="AF111" s="273">
        <v>122</v>
      </c>
      <c r="AG111" s="273">
        <v>24</v>
      </c>
      <c r="AH111" s="273">
        <v>3622</v>
      </c>
      <c r="AI111" s="273">
        <v>1.0705686350245052</v>
      </c>
      <c r="AJ111" s="273">
        <v>31844</v>
      </c>
      <c r="AK111" s="273">
        <v>2842</v>
      </c>
      <c r="AL111" s="273">
        <v>0.9442625353116392</v>
      </c>
      <c r="AM111" s="273">
        <v>0.991894107261485</v>
      </c>
      <c r="AN111" s="273">
        <v>0</v>
      </c>
      <c r="AO111" s="273">
        <v>0</v>
      </c>
      <c r="AP111" s="273">
        <f t="shared" si="0"/>
        <v>0</v>
      </c>
      <c r="AQ111" s="273">
        <v>-768345.0770012736</v>
      </c>
      <c r="AR111" s="273">
        <v>-4218362.42541842</v>
      </c>
      <c r="AS111" s="273">
        <v>1</v>
      </c>
      <c r="AT111" s="273">
        <v>67270</v>
      </c>
      <c r="AU111" s="273">
        <v>0</v>
      </c>
      <c r="AV111" s="273">
        <v>0</v>
      </c>
      <c r="AW111" s="273">
        <v>0</v>
      </c>
      <c r="AX111" s="273">
        <v>0</v>
      </c>
      <c r="AY111" s="273">
        <v>1785.78</v>
      </c>
      <c r="AZ111" s="273">
        <v>37.66981375085397</v>
      </c>
      <c r="BA111" s="273">
        <v>57894</v>
      </c>
      <c r="BB111" s="273">
        <v>0.8606213765422922</v>
      </c>
      <c r="BC111" s="273">
        <v>0</v>
      </c>
      <c r="BD111" s="273">
        <v>0</v>
      </c>
      <c r="BE111" s="273">
        <v>66131</v>
      </c>
      <c r="BF111" s="273">
        <v>67270</v>
      </c>
      <c r="BG111" s="273">
        <v>0.01722338993815306</v>
      </c>
      <c r="BH111" s="273">
        <v>0</v>
      </c>
      <c r="BI111" s="273">
        <v>3</v>
      </c>
      <c r="BJ111" s="273">
        <v>4.4596402556860416E-05</v>
      </c>
      <c r="BK111" s="273">
        <v>9743333.41620136</v>
      </c>
      <c r="BL111" s="273">
        <v>5935.12</v>
      </c>
    </row>
    <row r="112" spans="6:64" s="273" customFormat="1" ht="12.75">
      <c r="F112" s="273">
        <v>139</v>
      </c>
      <c r="G112" s="273" t="s">
        <v>48</v>
      </c>
      <c r="H112" s="273">
        <v>1115</v>
      </c>
      <c r="I112" s="273">
        <v>162</v>
      </c>
      <c r="J112" s="273">
        <v>876</v>
      </c>
      <c r="K112" s="273">
        <v>394</v>
      </c>
      <c r="L112" s="273">
        <v>6808</v>
      </c>
      <c r="M112" s="273">
        <v>828</v>
      </c>
      <c r="N112" s="273">
        <v>591</v>
      </c>
      <c r="O112" s="273">
        <v>157</v>
      </c>
      <c r="P112" s="273">
        <v>9499</v>
      </c>
      <c r="Q112" s="273">
        <v>2</v>
      </c>
      <c r="R112" s="273">
        <v>5</v>
      </c>
      <c r="S112" s="273">
        <v>1552.63</v>
      </c>
      <c r="T112" s="273">
        <v>6.118006221701242</v>
      </c>
      <c r="U112" s="273">
        <v>0</v>
      </c>
      <c r="V112" s="273">
        <v>0</v>
      </c>
      <c r="W112" s="273">
        <v>3252</v>
      </c>
      <c r="X112" s="273">
        <v>170</v>
      </c>
      <c r="Y112" s="273">
        <v>59</v>
      </c>
      <c r="Z112" s="273">
        <v>0.9765790806010995</v>
      </c>
      <c r="AA112" s="273">
        <v>7</v>
      </c>
      <c r="AB112" s="273">
        <v>7</v>
      </c>
      <c r="AC112" s="273">
        <v>0.476749585288581</v>
      </c>
      <c r="AD112" s="273">
        <v>523</v>
      </c>
      <c r="AE112" s="273">
        <v>80</v>
      </c>
      <c r="AF112" s="273">
        <v>15</v>
      </c>
      <c r="AG112" s="273">
        <v>6</v>
      </c>
      <c r="AH112" s="273">
        <v>624</v>
      </c>
      <c r="AI112" s="273">
        <v>1.306153441962865</v>
      </c>
      <c r="AJ112" s="273">
        <v>3894</v>
      </c>
      <c r="AK112" s="273">
        <v>544</v>
      </c>
      <c r="AL112" s="273">
        <v>1.4780844669914166</v>
      </c>
      <c r="AM112" s="273">
        <v>1.33554397381286</v>
      </c>
      <c r="AN112" s="273">
        <v>0</v>
      </c>
      <c r="AO112" s="273">
        <v>0</v>
      </c>
      <c r="AP112" s="273">
        <f t="shared" si="0"/>
        <v>0</v>
      </c>
      <c r="AQ112" s="273">
        <v>-103891.53774344549</v>
      </c>
      <c r="AR112" s="273">
        <v>6432461.326292678</v>
      </c>
      <c r="AS112" s="273">
        <v>0</v>
      </c>
      <c r="AT112" s="273">
        <v>9499</v>
      </c>
      <c r="AU112" s="273">
        <v>0</v>
      </c>
      <c r="AV112" s="273">
        <v>0</v>
      </c>
      <c r="AW112" s="273">
        <v>0</v>
      </c>
      <c r="AX112" s="273">
        <v>0</v>
      </c>
      <c r="AY112" s="273">
        <v>1552.63</v>
      </c>
      <c r="AZ112" s="273">
        <v>6.118006221701242</v>
      </c>
      <c r="BA112" s="273">
        <v>7415</v>
      </c>
      <c r="BB112" s="273">
        <v>0.7806084851036951</v>
      </c>
      <c r="BC112" s="273">
        <v>0</v>
      </c>
      <c r="BD112" s="273">
        <v>0</v>
      </c>
      <c r="BE112" s="273">
        <v>9177</v>
      </c>
      <c r="BF112" s="273">
        <v>9499</v>
      </c>
      <c r="BG112" s="273">
        <v>0.03508771929824561</v>
      </c>
      <c r="BH112" s="273">
        <v>0</v>
      </c>
      <c r="BI112" s="273">
        <v>0</v>
      </c>
      <c r="BJ112" s="273">
        <v>0</v>
      </c>
      <c r="BK112" s="273">
        <v>1617724.007405288</v>
      </c>
      <c r="BL112" s="273">
        <v>7134.94</v>
      </c>
    </row>
    <row r="113" spans="6:64" s="273" customFormat="1" ht="12.75">
      <c r="F113" s="273">
        <v>140</v>
      </c>
      <c r="G113" s="273" t="s">
        <v>49</v>
      </c>
      <c r="H113" s="273">
        <v>1605</v>
      </c>
      <c r="I113" s="273">
        <v>236</v>
      </c>
      <c r="J113" s="273">
        <v>1341</v>
      </c>
      <c r="K113" s="273">
        <v>709</v>
      </c>
      <c r="L113" s="273">
        <v>16078</v>
      </c>
      <c r="M113" s="273">
        <v>2246</v>
      </c>
      <c r="N113" s="273">
        <v>1596</v>
      </c>
      <c r="O113" s="273">
        <v>622</v>
      </c>
      <c r="P113" s="273">
        <v>22147</v>
      </c>
      <c r="Q113" s="273">
        <v>0</v>
      </c>
      <c r="R113" s="273">
        <v>36</v>
      </c>
      <c r="S113" s="273">
        <v>762.97</v>
      </c>
      <c r="T113" s="273">
        <v>29.02735363120437</v>
      </c>
      <c r="U113" s="273">
        <v>0</v>
      </c>
      <c r="V113" s="273">
        <v>0</v>
      </c>
      <c r="W113" s="273">
        <v>8617</v>
      </c>
      <c r="X113" s="273">
        <v>542</v>
      </c>
      <c r="Y113" s="273">
        <v>93</v>
      </c>
      <c r="Z113" s="273">
        <v>0.9731402532944743</v>
      </c>
      <c r="AA113" s="273">
        <v>40</v>
      </c>
      <c r="AB113" s="273">
        <v>40</v>
      </c>
      <c r="AC113" s="273">
        <v>1.1684637869446957</v>
      </c>
      <c r="AD113" s="273">
        <v>1510</v>
      </c>
      <c r="AE113" s="273">
        <v>164</v>
      </c>
      <c r="AF113" s="273">
        <v>40</v>
      </c>
      <c r="AG113" s="273">
        <v>1</v>
      </c>
      <c r="AH113" s="273">
        <v>1715</v>
      </c>
      <c r="AI113" s="273">
        <v>1.5397021489878104</v>
      </c>
      <c r="AJ113" s="273">
        <v>10424</v>
      </c>
      <c r="AK113" s="273">
        <v>1165</v>
      </c>
      <c r="AL113" s="273">
        <v>1.1824637159001061</v>
      </c>
      <c r="AM113" s="273">
        <v>1.35944352360838</v>
      </c>
      <c r="AN113" s="273">
        <v>0</v>
      </c>
      <c r="AO113" s="273">
        <v>0</v>
      </c>
      <c r="AP113" s="273">
        <f t="shared" si="0"/>
        <v>0</v>
      </c>
      <c r="AQ113" s="273">
        <v>-103509.28852503002</v>
      </c>
      <c r="AR113" s="273">
        <v>5214353.177938462</v>
      </c>
      <c r="AS113" s="273">
        <v>0</v>
      </c>
      <c r="AT113" s="273">
        <v>22147</v>
      </c>
      <c r="AU113" s="273">
        <v>0</v>
      </c>
      <c r="AV113" s="273">
        <v>0</v>
      </c>
      <c r="AW113" s="273">
        <v>0</v>
      </c>
      <c r="AX113" s="273">
        <v>0.01775</v>
      </c>
      <c r="AY113" s="273">
        <v>762.97</v>
      </c>
      <c r="AZ113" s="273">
        <v>29.02735363120437</v>
      </c>
      <c r="BA113" s="273">
        <v>16444</v>
      </c>
      <c r="BB113" s="273">
        <v>0.7424933399557502</v>
      </c>
      <c r="BC113" s="273">
        <v>0</v>
      </c>
      <c r="BD113" s="273">
        <v>0</v>
      </c>
      <c r="BE113" s="273">
        <v>22289</v>
      </c>
      <c r="BF113" s="273">
        <v>22147</v>
      </c>
      <c r="BG113" s="273">
        <v>-0.00637085557898515</v>
      </c>
      <c r="BH113" s="273">
        <v>0</v>
      </c>
      <c r="BI113" s="273">
        <v>3</v>
      </c>
      <c r="BJ113" s="273">
        <v>0.00013545852711428183</v>
      </c>
      <c r="BK113" s="273">
        <v>3645920.218034706</v>
      </c>
      <c r="BL113" s="273">
        <v>6087.45</v>
      </c>
    </row>
    <row r="114" spans="6:64" s="273" customFormat="1" ht="12.75">
      <c r="F114" s="273">
        <v>142</v>
      </c>
      <c r="G114" s="273" t="s">
        <v>50</v>
      </c>
      <c r="H114" s="273">
        <v>418</v>
      </c>
      <c r="I114" s="273">
        <v>62</v>
      </c>
      <c r="J114" s="273">
        <v>422</v>
      </c>
      <c r="K114" s="273">
        <v>222</v>
      </c>
      <c r="L114" s="273">
        <v>4918</v>
      </c>
      <c r="M114" s="273">
        <v>885</v>
      </c>
      <c r="N114" s="273">
        <v>569</v>
      </c>
      <c r="O114" s="273">
        <v>212</v>
      </c>
      <c r="P114" s="273">
        <v>7002</v>
      </c>
      <c r="Q114" s="273">
        <v>5</v>
      </c>
      <c r="R114" s="273">
        <v>9</v>
      </c>
      <c r="S114" s="273">
        <v>589.81</v>
      </c>
      <c r="T114" s="273">
        <v>11.871619674132349</v>
      </c>
      <c r="U114" s="273">
        <v>0</v>
      </c>
      <c r="V114" s="273">
        <v>0</v>
      </c>
      <c r="W114" s="273">
        <v>2813</v>
      </c>
      <c r="X114" s="273">
        <v>279</v>
      </c>
      <c r="Y114" s="273">
        <v>48</v>
      </c>
      <c r="Z114" s="273">
        <v>0.9284343475592601</v>
      </c>
      <c r="AA114" s="273">
        <v>8</v>
      </c>
      <c r="AB114" s="273">
        <v>8</v>
      </c>
      <c r="AC114" s="273">
        <v>0.7391593113243123</v>
      </c>
      <c r="AD114" s="273">
        <v>328</v>
      </c>
      <c r="AE114" s="273">
        <v>45</v>
      </c>
      <c r="AF114" s="273">
        <v>7</v>
      </c>
      <c r="AG114" s="273">
        <v>11</v>
      </c>
      <c r="AH114" s="273">
        <v>391</v>
      </c>
      <c r="AI114" s="273">
        <v>1.1103046231697664</v>
      </c>
      <c r="AJ114" s="273">
        <v>3257</v>
      </c>
      <c r="AK114" s="273">
        <v>335</v>
      </c>
      <c r="AL114" s="273">
        <v>1.0882366522476663</v>
      </c>
      <c r="AM114" s="273">
        <v>0.935945839341544</v>
      </c>
      <c r="AN114" s="273">
        <v>0</v>
      </c>
      <c r="AO114" s="273">
        <v>0</v>
      </c>
      <c r="AP114" s="273">
        <f t="shared" si="0"/>
        <v>0</v>
      </c>
      <c r="AQ114" s="273">
        <v>7043.986740678549</v>
      </c>
      <c r="AR114" s="273">
        <v>2511844.111243239</v>
      </c>
      <c r="AS114" s="273">
        <v>0</v>
      </c>
      <c r="AT114" s="273">
        <v>7002</v>
      </c>
      <c r="AU114" s="273">
        <v>0</v>
      </c>
      <c r="AV114" s="273">
        <v>0</v>
      </c>
      <c r="AW114" s="273">
        <v>0</v>
      </c>
      <c r="AX114" s="273">
        <v>0</v>
      </c>
      <c r="AY114" s="273">
        <v>589.81</v>
      </c>
      <c r="AZ114" s="273">
        <v>11.871619674132349</v>
      </c>
      <c r="BA114" s="273">
        <v>3898</v>
      </c>
      <c r="BB114" s="273">
        <v>0.5566980862610683</v>
      </c>
      <c r="BC114" s="273">
        <v>0</v>
      </c>
      <c r="BD114" s="273">
        <v>0</v>
      </c>
      <c r="BE114" s="273">
        <v>7093</v>
      </c>
      <c r="BF114" s="273">
        <v>7002</v>
      </c>
      <c r="BG114" s="273">
        <v>-0.012829550260820527</v>
      </c>
      <c r="BH114" s="273">
        <v>0</v>
      </c>
      <c r="BI114" s="273">
        <v>1</v>
      </c>
      <c r="BJ114" s="273">
        <v>0.00014281633818908883</v>
      </c>
      <c r="BK114" s="273">
        <v>1238505.313882736</v>
      </c>
      <c r="BL114" s="273">
        <v>6695.58</v>
      </c>
    </row>
    <row r="115" spans="6:64" s="273" customFormat="1" ht="12.75">
      <c r="F115" s="273">
        <v>143</v>
      </c>
      <c r="G115" s="273" t="s">
        <v>51</v>
      </c>
      <c r="H115" s="273">
        <v>489</v>
      </c>
      <c r="I115" s="273">
        <v>76</v>
      </c>
      <c r="J115" s="273">
        <v>404</v>
      </c>
      <c r="K115" s="273">
        <v>227</v>
      </c>
      <c r="L115" s="273">
        <v>5121</v>
      </c>
      <c r="M115" s="273">
        <v>943</v>
      </c>
      <c r="N115" s="273">
        <v>568</v>
      </c>
      <c r="O115" s="273">
        <v>254</v>
      </c>
      <c r="P115" s="273">
        <v>7375</v>
      </c>
      <c r="Q115" s="273">
        <v>0</v>
      </c>
      <c r="R115" s="273">
        <v>14</v>
      </c>
      <c r="S115" s="273">
        <v>750.3</v>
      </c>
      <c r="T115" s="273">
        <v>9.829401572704253</v>
      </c>
      <c r="U115" s="273">
        <v>0</v>
      </c>
      <c r="V115" s="273">
        <v>0</v>
      </c>
      <c r="W115" s="273">
        <v>2945</v>
      </c>
      <c r="X115" s="273">
        <v>313</v>
      </c>
      <c r="Y115" s="273">
        <v>30</v>
      </c>
      <c r="Z115" s="273">
        <v>0.9282005038495077</v>
      </c>
      <c r="AA115" s="273">
        <v>7</v>
      </c>
      <c r="AB115" s="273">
        <v>7</v>
      </c>
      <c r="AC115" s="273">
        <v>0.6140534658516924</v>
      </c>
      <c r="AD115" s="273">
        <v>376</v>
      </c>
      <c r="AE115" s="273">
        <v>55</v>
      </c>
      <c r="AF115" s="273">
        <v>6</v>
      </c>
      <c r="AG115" s="273">
        <v>3</v>
      </c>
      <c r="AH115" s="273">
        <v>440</v>
      </c>
      <c r="AI115" s="273">
        <v>1.1862552542134537</v>
      </c>
      <c r="AJ115" s="273">
        <v>3326</v>
      </c>
      <c r="AK115" s="273">
        <v>224</v>
      </c>
      <c r="AL115" s="273">
        <v>0.7125610413719367</v>
      </c>
      <c r="AM115" s="273">
        <v>0.992865082638989</v>
      </c>
      <c r="AN115" s="273">
        <v>0</v>
      </c>
      <c r="AO115" s="273">
        <v>0</v>
      </c>
      <c r="AP115" s="273">
        <f t="shared" si="0"/>
        <v>0</v>
      </c>
      <c r="AQ115" s="273">
        <v>79890.6480099801</v>
      </c>
      <c r="AR115" s="273">
        <v>3428097.14281519</v>
      </c>
      <c r="AS115" s="273">
        <v>0</v>
      </c>
      <c r="AT115" s="273">
        <v>7375</v>
      </c>
      <c r="AU115" s="273">
        <v>0</v>
      </c>
      <c r="AV115" s="273">
        <v>0</v>
      </c>
      <c r="AW115" s="273">
        <v>0</v>
      </c>
      <c r="AX115" s="273">
        <v>0</v>
      </c>
      <c r="AY115" s="273">
        <v>750.3</v>
      </c>
      <c r="AZ115" s="273">
        <v>9.829401572704253</v>
      </c>
      <c r="BA115" s="273">
        <v>4412</v>
      </c>
      <c r="BB115" s="273">
        <v>0.5982372881355932</v>
      </c>
      <c r="BC115" s="273">
        <v>0</v>
      </c>
      <c r="BD115" s="273">
        <v>0</v>
      </c>
      <c r="BE115" s="273">
        <v>7453</v>
      </c>
      <c r="BF115" s="273">
        <v>7375</v>
      </c>
      <c r="BG115" s="273">
        <v>-0.010465584328458339</v>
      </c>
      <c r="BH115" s="273">
        <v>0</v>
      </c>
      <c r="BI115" s="273">
        <v>0</v>
      </c>
      <c r="BJ115" s="273">
        <v>0</v>
      </c>
      <c r="BK115" s="273">
        <v>1548674.039490028</v>
      </c>
      <c r="BL115" s="273">
        <v>6825</v>
      </c>
    </row>
    <row r="116" spans="6:64" s="273" customFormat="1" ht="12.75">
      <c r="F116" s="273">
        <v>145</v>
      </c>
      <c r="G116" s="273" t="s">
        <v>52</v>
      </c>
      <c r="H116" s="273">
        <v>1082</v>
      </c>
      <c r="I116" s="273">
        <v>148</v>
      </c>
      <c r="J116" s="273">
        <v>952</v>
      </c>
      <c r="K116" s="273">
        <v>459</v>
      </c>
      <c r="L116" s="273">
        <v>8712</v>
      </c>
      <c r="M116" s="273">
        <v>1007</v>
      </c>
      <c r="N116" s="273">
        <v>776</v>
      </c>
      <c r="O116" s="273">
        <v>321</v>
      </c>
      <c r="P116" s="273">
        <v>11898</v>
      </c>
      <c r="Q116" s="273">
        <v>2</v>
      </c>
      <c r="R116" s="273">
        <v>18</v>
      </c>
      <c r="S116" s="273">
        <v>576.79</v>
      </c>
      <c r="T116" s="273">
        <v>20.627958182354064</v>
      </c>
      <c r="U116" s="273">
        <v>0</v>
      </c>
      <c r="V116" s="273">
        <v>0</v>
      </c>
      <c r="W116" s="273">
        <v>4939</v>
      </c>
      <c r="X116" s="273">
        <v>525</v>
      </c>
      <c r="Y116" s="273">
        <v>58</v>
      </c>
      <c r="Z116" s="273">
        <v>0.9265495546507593</v>
      </c>
      <c r="AA116" s="273">
        <v>14</v>
      </c>
      <c r="AB116" s="273">
        <v>14</v>
      </c>
      <c r="AC116" s="273">
        <v>0.7612446311407348</v>
      </c>
      <c r="AD116" s="273">
        <v>630</v>
      </c>
      <c r="AE116" s="273">
        <v>91</v>
      </c>
      <c r="AF116" s="273">
        <v>26</v>
      </c>
      <c r="AG116" s="273">
        <v>8</v>
      </c>
      <c r="AH116" s="273">
        <v>755</v>
      </c>
      <c r="AI116" s="273">
        <v>1.2617127281451592</v>
      </c>
      <c r="AJ116" s="273">
        <v>5519</v>
      </c>
      <c r="AK116" s="273">
        <v>396</v>
      </c>
      <c r="AL116" s="273">
        <v>0.7591561111507747</v>
      </c>
      <c r="AM116" s="273">
        <v>1.0430352970636</v>
      </c>
      <c r="AN116" s="273">
        <v>0</v>
      </c>
      <c r="AO116" s="273">
        <v>0</v>
      </c>
      <c r="AP116" s="273">
        <f t="shared" si="0"/>
        <v>0</v>
      </c>
      <c r="AQ116" s="273">
        <v>-102255.52143593878</v>
      </c>
      <c r="AR116" s="273">
        <v>5182708.436692309</v>
      </c>
      <c r="AS116" s="273">
        <v>1</v>
      </c>
      <c r="AT116" s="273">
        <v>11898</v>
      </c>
      <c r="AU116" s="273">
        <v>0</v>
      </c>
      <c r="AV116" s="273">
        <v>0</v>
      </c>
      <c r="AW116" s="273">
        <v>0</v>
      </c>
      <c r="AX116" s="273">
        <v>0</v>
      </c>
      <c r="AY116" s="273">
        <v>576.79</v>
      </c>
      <c r="AZ116" s="273">
        <v>20.627958182354064</v>
      </c>
      <c r="BA116" s="273">
        <v>8169</v>
      </c>
      <c r="BB116" s="273">
        <v>0.6865859808371155</v>
      </c>
      <c r="BC116" s="273">
        <v>0</v>
      </c>
      <c r="BD116" s="273">
        <v>0</v>
      </c>
      <c r="BE116" s="273">
        <v>11680</v>
      </c>
      <c r="BF116" s="273">
        <v>11898</v>
      </c>
      <c r="BG116" s="273">
        <v>0.018664383561643835</v>
      </c>
      <c r="BH116" s="273">
        <v>0</v>
      </c>
      <c r="BI116" s="273">
        <v>1</v>
      </c>
      <c r="BJ116" s="273">
        <v>8.404773911581779E-05</v>
      </c>
      <c r="BK116" s="273">
        <v>1963825.8712717015</v>
      </c>
      <c r="BL116" s="273">
        <v>6314.38</v>
      </c>
    </row>
    <row r="117" spans="6:64" s="273" customFormat="1" ht="12.75">
      <c r="F117" s="273">
        <v>146</v>
      </c>
      <c r="G117" s="273" t="s">
        <v>53</v>
      </c>
      <c r="H117" s="273">
        <v>256</v>
      </c>
      <c r="I117" s="273">
        <v>36</v>
      </c>
      <c r="J117" s="273">
        <v>261</v>
      </c>
      <c r="K117" s="273">
        <v>179</v>
      </c>
      <c r="L117" s="273">
        <v>3828</v>
      </c>
      <c r="M117" s="273">
        <v>847</v>
      </c>
      <c r="N117" s="273">
        <v>666</v>
      </c>
      <c r="O117" s="273">
        <v>237</v>
      </c>
      <c r="P117" s="273">
        <v>5834</v>
      </c>
      <c r="Q117" s="273">
        <v>2</v>
      </c>
      <c r="R117" s="273">
        <v>10</v>
      </c>
      <c r="S117" s="273">
        <v>2763.71</v>
      </c>
      <c r="T117" s="273">
        <v>2.1109305969150163</v>
      </c>
      <c r="U117" s="273">
        <v>0</v>
      </c>
      <c r="V117" s="273">
        <v>0</v>
      </c>
      <c r="W117" s="273">
        <v>1923</v>
      </c>
      <c r="X117" s="273">
        <v>251</v>
      </c>
      <c r="Y117" s="273">
        <v>31</v>
      </c>
      <c r="Z117" s="273">
        <v>0.8964975427870375</v>
      </c>
      <c r="AA117" s="273">
        <v>18</v>
      </c>
      <c r="AB117" s="273">
        <v>18</v>
      </c>
      <c r="AC117" s="273">
        <v>1.9960722266470483</v>
      </c>
      <c r="AD117" s="273">
        <v>528</v>
      </c>
      <c r="AE117" s="273">
        <v>29</v>
      </c>
      <c r="AF117" s="273">
        <v>4</v>
      </c>
      <c r="AG117" s="273">
        <v>2</v>
      </c>
      <c r="AH117" s="273">
        <v>563</v>
      </c>
      <c r="AI117" s="273">
        <v>1.9187989284605276</v>
      </c>
      <c r="AJ117" s="273">
        <v>2349</v>
      </c>
      <c r="AK117" s="273">
        <v>319</v>
      </c>
      <c r="AL117" s="273">
        <v>1.4368253009057357</v>
      </c>
      <c r="AM117" s="273">
        <v>1.72698646780216</v>
      </c>
      <c r="AN117" s="273">
        <v>0.0800000000000001</v>
      </c>
      <c r="AO117" s="273">
        <v>0</v>
      </c>
      <c r="AP117" s="273">
        <f t="shared" si="0"/>
        <v>0.0800000000000001</v>
      </c>
      <c r="AQ117" s="273">
        <v>-5688.993367061019</v>
      </c>
      <c r="AR117" s="273">
        <v>2917387.2141063255</v>
      </c>
      <c r="AS117" s="273">
        <v>1</v>
      </c>
      <c r="AT117" s="273">
        <v>5834</v>
      </c>
      <c r="AU117" s="273">
        <v>0</v>
      </c>
      <c r="AV117" s="273">
        <v>0</v>
      </c>
      <c r="AW117" s="273">
        <v>0</v>
      </c>
      <c r="AX117" s="273">
        <v>1.2847333333333333</v>
      </c>
      <c r="AY117" s="273">
        <v>2763.71</v>
      </c>
      <c r="AZ117" s="273">
        <v>2.1109305969150163</v>
      </c>
      <c r="BA117" s="273">
        <v>3021</v>
      </c>
      <c r="BB117" s="273">
        <v>0.5178265341103874</v>
      </c>
      <c r="BC117" s="273">
        <v>0</v>
      </c>
      <c r="BD117" s="273">
        <v>0</v>
      </c>
      <c r="BE117" s="273">
        <v>6052</v>
      </c>
      <c r="BF117" s="273">
        <v>5834</v>
      </c>
      <c r="BG117" s="273">
        <v>-0.03602115003304693</v>
      </c>
      <c r="BH117" s="273">
        <v>0</v>
      </c>
      <c r="BI117" s="273">
        <v>0</v>
      </c>
      <c r="BJ117" s="273">
        <v>0</v>
      </c>
      <c r="BK117" s="273">
        <v>1476958.5222414879</v>
      </c>
      <c r="BL117" s="273">
        <v>8178.06</v>
      </c>
    </row>
    <row r="118" spans="6:64" s="273" customFormat="1" ht="12.75">
      <c r="F118" s="273">
        <v>153</v>
      </c>
      <c r="G118" s="273" t="s">
        <v>54</v>
      </c>
      <c r="H118" s="273">
        <v>1687</v>
      </c>
      <c r="I118" s="273">
        <v>258</v>
      </c>
      <c r="J118" s="273">
        <v>1497</v>
      </c>
      <c r="K118" s="273">
        <v>873</v>
      </c>
      <c r="L118" s="273">
        <v>19904</v>
      </c>
      <c r="M118" s="273">
        <v>3746</v>
      </c>
      <c r="N118" s="273">
        <v>2322</v>
      </c>
      <c r="O118" s="273">
        <v>813</v>
      </c>
      <c r="P118" s="273">
        <v>28472</v>
      </c>
      <c r="Q118" s="273">
        <v>2</v>
      </c>
      <c r="R118" s="273">
        <v>101</v>
      </c>
      <c r="S118" s="273">
        <v>154.99</v>
      </c>
      <c r="T118" s="273">
        <v>183.70217433382797</v>
      </c>
      <c r="U118" s="273">
        <v>0</v>
      </c>
      <c r="V118" s="273">
        <v>0</v>
      </c>
      <c r="W118" s="273">
        <v>10451</v>
      </c>
      <c r="X118" s="273">
        <v>111</v>
      </c>
      <c r="Y118" s="273">
        <v>107</v>
      </c>
      <c r="Z118" s="273">
        <v>1.0286436112973598</v>
      </c>
      <c r="AA118" s="273">
        <v>77</v>
      </c>
      <c r="AB118" s="273">
        <v>77</v>
      </c>
      <c r="AC118" s="273">
        <v>1.7496167258084625</v>
      </c>
      <c r="AD118" s="273">
        <v>1650</v>
      </c>
      <c r="AE118" s="273">
        <v>141</v>
      </c>
      <c r="AF118" s="273">
        <v>59</v>
      </c>
      <c r="AG118" s="273">
        <v>8</v>
      </c>
      <c r="AH118" s="273">
        <v>1858</v>
      </c>
      <c r="AI118" s="273">
        <v>1.297523498738266</v>
      </c>
      <c r="AJ118" s="273">
        <v>12625</v>
      </c>
      <c r="AK118" s="273">
        <v>1698</v>
      </c>
      <c r="AL118" s="273">
        <v>1.422992462545261</v>
      </c>
      <c r="AM118" s="273">
        <v>1.36582022397291</v>
      </c>
      <c r="AN118" s="273">
        <v>0</v>
      </c>
      <c r="AO118" s="273">
        <v>0</v>
      </c>
      <c r="AP118" s="273">
        <f t="shared" si="0"/>
        <v>0</v>
      </c>
      <c r="AQ118" s="273">
        <v>-294628.57903369516</v>
      </c>
      <c r="AR118" s="273">
        <v>-1505250.7539699986</v>
      </c>
      <c r="AS118" s="273">
        <v>1</v>
      </c>
      <c r="AT118" s="273">
        <v>28472</v>
      </c>
      <c r="AU118" s="273">
        <v>0</v>
      </c>
      <c r="AV118" s="273">
        <v>0</v>
      </c>
      <c r="AW118" s="273">
        <v>0</v>
      </c>
      <c r="AX118" s="273">
        <v>0</v>
      </c>
      <c r="AY118" s="273">
        <v>154.99</v>
      </c>
      <c r="AZ118" s="273">
        <v>183.70217433382797</v>
      </c>
      <c r="BA118" s="273">
        <v>27440</v>
      </c>
      <c r="BB118" s="273">
        <v>0.9637538634447879</v>
      </c>
      <c r="BC118" s="273">
        <v>0</v>
      </c>
      <c r="BD118" s="273">
        <v>0</v>
      </c>
      <c r="BE118" s="273">
        <v>28899</v>
      </c>
      <c r="BF118" s="273">
        <v>28472</v>
      </c>
      <c r="BG118" s="273">
        <v>-0.014775597771549189</v>
      </c>
      <c r="BH118" s="273">
        <v>0</v>
      </c>
      <c r="BI118" s="273">
        <v>1</v>
      </c>
      <c r="BJ118" s="273">
        <v>3.512222534419781E-05</v>
      </c>
      <c r="BK118" s="273">
        <v>4028584.6062318953</v>
      </c>
      <c r="BL118" s="273">
        <v>5905.18</v>
      </c>
    </row>
    <row r="119" spans="6:64" s="273" customFormat="1" ht="12.75">
      <c r="F119" s="273">
        <v>148</v>
      </c>
      <c r="G119" s="273" t="s">
        <v>55</v>
      </c>
      <c r="H119" s="273">
        <v>399</v>
      </c>
      <c r="I119" s="273">
        <v>57</v>
      </c>
      <c r="J119" s="273">
        <v>353</v>
      </c>
      <c r="K119" s="273">
        <v>194</v>
      </c>
      <c r="L119" s="273">
        <v>5017</v>
      </c>
      <c r="M119" s="273">
        <v>765</v>
      </c>
      <c r="N119" s="273">
        <v>454</v>
      </c>
      <c r="O119" s="273">
        <v>119</v>
      </c>
      <c r="P119" s="273">
        <v>6754</v>
      </c>
      <c r="Q119" s="273">
        <v>2</v>
      </c>
      <c r="R119" s="273">
        <v>4</v>
      </c>
      <c r="S119" s="273">
        <v>15052.26</v>
      </c>
      <c r="T119" s="273">
        <v>0.448703384076544</v>
      </c>
      <c r="U119" s="273">
        <v>0</v>
      </c>
      <c r="V119" s="273">
        <v>0</v>
      </c>
      <c r="W119" s="273">
        <v>2795</v>
      </c>
      <c r="X119" s="273">
        <v>225</v>
      </c>
      <c r="Y119" s="273">
        <v>39</v>
      </c>
      <c r="Z119" s="273">
        <v>0.9513276940664799</v>
      </c>
      <c r="AA119" s="273">
        <v>14</v>
      </c>
      <c r="AB119" s="273">
        <v>14</v>
      </c>
      <c r="AC119" s="273">
        <v>1.3410258545028815</v>
      </c>
      <c r="AD119" s="273">
        <v>352</v>
      </c>
      <c r="AE119" s="273">
        <v>32</v>
      </c>
      <c r="AF119" s="273">
        <v>10</v>
      </c>
      <c r="AG119" s="273">
        <v>4</v>
      </c>
      <c r="AH119" s="273">
        <v>398</v>
      </c>
      <c r="AI119" s="273">
        <v>1.171681338644453</v>
      </c>
      <c r="AJ119" s="273">
        <v>3259</v>
      </c>
      <c r="AK119" s="273">
        <v>439</v>
      </c>
      <c r="AL119" s="273">
        <v>1.4252021220928635</v>
      </c>
      <c r="AM119" s="273">
        <v>1.1057060080429</v>
      </c>
      <c r="AN119" s="273">
        <v>0.17</v>
      </c>
      <c r="AO119" s="273">
        <v>0</v>
      </c>
      <c r="AP119" s="273">
        <f t="shared" si="0"/>
        <v>0.17</v>
      </c>
      <c r="AQ119" s="273">
        <v>241319.49110893905</v>
      </c>
      <c r="AR119" s="273">
        <v>1187672.3130421033</v>
      </c>
      <c r="AS119" s="273">
        <v>1</v>
      </c>
      <c r="AT119" s="273">
        <v>6754</v>
      </c>
      <c r="AU119" s="273">
        <v>0</v>
      </c>
      <c r="AV119" s="273">
        <v>0</v>
      </c>
      <c r="AW119" s="273">
        <v>0</v>
      </c>
      <c r="AX119" s="273">
        <v>1.5744500000000001</v>
      </c>
      <c r="AY119" s="273">
        <v>15052.26</v>
      </c>
      <c r="AZ119" s="273">
        <v>0.448703384076544</v>
      </c>
      <c r="BA119" s="273">
        <v>4180</v>
      </c>
      <c r="BB119" s="273">
        <v>0.6188925081433225</v>
      </c>
      <c r="BC119" s="273">
        <v>0</v>
      </c>
      <c r="BD119" s="273">
        <v>1</v>
      </c>
      <c r="BE119" s="273">
        <v>6866</v>
      </c>
      <c r="BF119" s="273">
        <v>6754</v>
      </c>
      <c r="BG119" s="273">
        <v>-0.01631226332653656</v>
      </c>
      <c r="BH119" s="273">
        <v>0</v>
      </c>
      <c r="BI119" s="273">
        <v>413</v>
      </c>
      <c r="BJ119" s="273">
        <v>0.06114894877109861</v>
      </c>
      <c r="BK119" s="273">
        <v>1665243.3760488627</v>
      </c>
      <c r="BL119" s="273">
        <v>9410.97</v>
      </c>
    </row>
    <row r="120" spans="6:64" s="273" customFormat="1" ht="12.75">
      <c r="F120" s="273">
        <v>149</v>
      </c>
      <c r="G120" s="273" t="s">
        <v>56</v>
      </c>
      <c r="H120" s="273">
        <v>475</v>
      </c>
      <c r="I120" s="273">
        <v>86</v>
      </c>
      <c r="J120" s="273">
        <v>430</v>
      </c>
      <c r="K120" s="273">
        <v>188</v>
      </c>
      <c r="L120" s="273">
        <v>4045</v>
      </c>
      <c r="M120" s="273">
        <v>617</v>
      </c>
      <c r="N120" s="273">
        <v>315</v>
      </c>
      <c r="O120" s="273">
        <v>109</v>
      </c>
      <c r="P120" s="273">
        <v>5561</v>
      </c>
      <c r="Q120" s="273">
        <v>380</v>
      </c>
      <c r="R120" s="273">
        <v>20</v>
      </c>
      <c r="S120" s="273">
        <v>349.87</v>
      </c>
      <c r="T120" s="273">
        <v>15.894475090747992</v>
      </c>
      <c r="U120" s="273">
        <v>1</v>
      </c>
      <c r="V120" s="273">
        <v>3</v>
      </c>
      <c r="W120" s="273">
        <v>2627</v>
      </c>
      <c r="X120" s="273">
        <v>136</v>
      </c>
      <c r="Y120" s="273">
        <v>46</v>
      </c>
      <c r="Z120" s="273">
        <v>0.9777742536166546</v>
      </c>
      <c r="AA120" s="273">
        <v>0</v>
      </c>
      <c r="AB120" s="273">
        <v>2</v>
      </c>
      <c r="AC120" s="273">
        <v>0.2326736871917297</v>
      </c>
      <c r="AD120" s="273">
        <v>155</v>
      </c>
      <c r="AE120" s="273">
        <v>24</v>
      </c>
      <c r="AF120" s="273">
        <v>6</v>
      </c>
      <c r="AG120" s="273">
        <v>1</v>
      </c>
      <c r="AH120" s="273">
        <v>186</v>
      </c>
      <c r="AI120" s="273">
        <v>0.6650396613457786</v>
      </c>
      <c r="AJ120" s="273">
        <v>2789</v>
      </c>
      <c r="AK120" s="273">
        <v>124</v>
      </c>
      <c r="AL120" s="273">
        <v>0.47040233783034685</v>
      </c>
      <c r="AM120" s="273">
        <v>0.694054176052946</v>
      </c>
      <c r="AN120" s="273">
        <v>0</v>
      </c>
      <c r="AO120" s="273">
        <v>0</v>
      </c>
      <c r="AP120" s="273">
        <f t="shared" si="0"/>
        <v>0</v>
      </c>
      <c r="AQ120" s="273">
        <v>-139329.01962335035</v>
      </c>
      <c r="AR120" s="273">
        <v>-1275681.186335664</v>
      </c>
      <c r="AS120" s="273">
        <v>1</v>
      </c>
      <c r="AT120" s="273">
        <v>5561</v>
      </c>
      <c r="AU120" s="273">
        <v>1</v>
      </c>
      <c r="AV120" s="273">
        <v>261</v>
      </c>
      <c r="AW120" s="273">
        <v>0.04693400467541809</v>
      </c>
      <c r="AX120" s="273">
        <v>0</v>
      </c>
      <c r="AY120" s="273">
        <v>349.87</v>
      </c>
      <c r="AZ120" s="273">
        <v>15.894475090747992</v>
      </c>
      <c r="BA120" s="273">
        <v>2285</v>
      </c>
      <c r="BB120" s="273">
        <v>0.4108973206257867</v>
      </c>
      <c r="BC120" s="273">
        <v>3</v>
      </c>
      <c r="BD120" s="273">
        <v>0</v>
      </c>
      <c r="BE120" s="273">
        <v>5575</v>
      </c>
      <c r="BF120" s="273">
        <v>5561</v>
      </c>
      <c r="BG120" s="273">
        <v>-0.0025112107623318385</v>
      </c>
      <c r="BH120" s="273">
        <v>0</v>
      </c>
      <c r="BI120" s="273">
        <v>0</v>
      </c>
      <c r="BJ120" s="273">
        <v>0</v>
      </c>
      <c r="BK120" s="273">
        <v>905809.1194264523</v>
      </c>
      <c r="BL120" s="273">
        <v>7233.38</v>
      </c>
    </row>
    <row r="121" spans="6:64" s="273" customFormat="1" ht="12.75">
      <c r="F121" s="273">
        <v>151</v>
      </c>
      <c r="G121" s="273" t="s">
        <v>57</v>
      </c>
      <c r="H121" s="273">
        <v>119</v>
      </c>
      <c r="I121" s="273">
        <v>22</v>
      </c>
      <c r="J121" s="273">
        <v>135</v>
      </c>
      <c r="K121" s="273">
        <v>87</v>
      </c>
      <c r="L121" s="273">
        <v>1575</v>
      </c>
      <c r="M121" s="273">
        <v>284</v>
      </c>
      <c r="N121" s="273">
        <v>245</v>
      </c>
      <c r="O121" s="273">
        <v>131</v>
      </c>
      <c r="P121" s="273">
        <v>2354</v>
      </c>
      <c r="Q121" s="273">
        <v>0</v>
      </c>
      <c r="R121" s="273">
        <v>6</v>
      </c>
      <c r="S121" s="273">
        <v>642.38</v>
      </c>
      <c r="T121" s="273">
        <v>3.6644976493664188</v>
      </c>
      <c r="U121" s="273">
        <v>0</v>
      </c>
      <c r="V121" s="273">
        <v>0</v>
      </c>
      <c r="W121" s="273">
        <v>889</v>
      </c>
      <c r="X121" s="273">
        <v>197</v>
      </c>
      <c r="Y121" s="273">
        <v>10</v>
      </c>
      <c r="Z121" s="273">
        <v>0.8059394607663991</v>
      </c>
      <c r="AA121" s="273">
        <v>0</v>
      </c>
      <c r="AB121" s="273">
        <v>2</v>
      </c>
      <c r="AC121" s="273">
        <v>0.5496594623930369</v>
      </c>
      <c r="AD121" s="273">
        <v>250</v>
      </c>
      <c r="AE121" s="273">
        <v>21</v>
      </c>
      <c r="AF121" s="273">
        <v>2</v>
      </c>
      <c r="AG121" s="273">
        <v>1</v>
      </c>
      <c r="AH121" s="273">
        <v>274</v>
      </c>
      <c r="AI121" s="273">
        <v>2.314363660454001</v>
      </c>
      <c r="AJ121" s="273">
        <v>963</v>
      </c>
      <c r="AK121" s="273">
        <v>60</v>
      </c>
      <c r="AL121" s="273">
        <v>0.6592061703390801</v>
      </c>
      <c r="AM121" s="273">
        <v>1.46083932384475</v>
      </c>
      <c r="AN121" s="273">
        <v>0</v>
      </c>
      <c r="AO121" s="273">
        <v>0</v>
      </c>
      <c r="AP121" s="273">
        <f t="shared" si="0"/>
        <v>0</v>
      </c>
      <c r="AQ121" s="273">
        <v>-10711.074828449637</v>
      </c>
      <c r="AR121" s="273">
        <v>2108235.637839024</v>
      </c>
      <c r="AS121" s="273">
        <v>1</v>
      </c>
      <c r="AT121" s="273">
        <v>2354</v>
      </c>
      <c r="AU121" s="273">
        <v>0</v>
      </c>
      <c r="AV121" s="273">
        <v>0</v>
      </c>
      <c r="AW121" s="273">
        <v>0</v>
      </c>
      <c r="AX121" s="273">
        <v>0.4008</v>
      </c>
      <c r="AY121" s="273">
        <v>642.38</v>
      </c>
      <c r="AZ121" s="273">
        <v>3.6644976493664188</v>
      </c>
      <c r="BA121" s="273">
        <v>887</v>
      </c>
      <c r="BB121" s="273">
        <v>0.3768054375531011</v>
      </c>
      <c r="BC121" s="273">
        <v>0</v>
      </c>
      <c r="BD121" s="273">
        <v>0</v>
      </c>
      <c r="BE121" s="273">
        <v>2458</v>
      </c>
      <c r="BF121" s="273">
        <v>2354</v>
      </c>
      <c r="BG121" s="273">
        <v>-0.04231082180634662</v>
      </c>
      <c r="BH121" s="273">
        <v>0</v>
      </c>
      <c r="BI121" s="273">
        <v>0</v>
      </c>
      <c r="BJ121" s="273">
        <v>0</v>
      </c>
      <c r="BK121" s="273">
        <v>588076.952884287</v>
      </c>
      <c r="BL121" s="273">
        <v>7577.75</v>
      </c>
    </row>
    <row r="122" spans="6:64" s="273" customFormat="1" ht="12.75">
      <c r="F122" s="273">
        <v>152</v>
      </c>
      <c r="G122" s="273" t="s">
        <v>58</v>
      </c>
      <c r="H122" s="273">
        <v>392</v>
      </c>
      <c r="I122" s="273">
        <v>61</v>
      </c>
      <c r="J122" s="273">
        <v>337</v>
      </c>
      <c r="K122" s="273">
        <v>182</v>
      </c>
      <c r="L122" s="273">
        <v>3451</v>
      </c>
      <c r="M122" s="273">
        <v>554</v>
      </c>
      <c r="N122" s="273">
        <v>386</v>
      </c>
      <c r="O122" s="273">
        <v>153</v>
      </c>
      <c r="P122" s="273">
        <v>4936</v>
      </c>
      <c r="Q122" s="273">
        <v>5</v>
      </c>
      <c r="R122" s="273">
        <v>2</v>
      </c>
      <c r="S122" s="273">
        <v>354.2</v>
      </c>
      <c r="T122" s="273">
        <v>13.9356295878035</v>
      </c>
      <c r="U122" s="273">
        <v>0</v>
      </c>
      <c r="V122" s="273">
        <v>0</v>
      </c>
      <c r="W122" s="273">
        <v>1996</v>
      </c>
      <c r="X122" s="273">
        <v>263</v>
      </c>
      <c r="Y122" s="273">
        <v>26</v>
      </c>
      <c r="Z122" s="273">
        <v>0.8984476785834193</v>
      </c>
      <c r="AA122" s="273">
        <v>1</v>
      </c>
      <c r="AB122" s="273">
        <v>2</v>
      </c>
      <c r="AC122" s="273">
        <v>0.26213500293217357</v>
      </c>
      <c r="AD122" s="273">
        <v>284</v>
      </c>
      <c r="AE122" s="273">
        <v>46</v>
      </c>
      <c r="AF122" s="273">
        <v>15</v>
      </c>
      <c r="AG122" s="273">
        <v>1</v>
      </c>
      <c r="AH122" s="273">
        <v>346</v>
      </c>
      <c r="AI122" s="273">
        <v>1.3937614395808071</v>
      </c>
      <c r="AJ122" s="273">
        <v>2171</v>
      </c>
      <c r="AK122" s="273">
        <v>134</v>
      </c>
      <c r="AL122" s="273">
        <v>0.6530422434584338</v>
      </c>
      <c r="AM122" s="273">
        <v>1.08775603145605</v>
      </c>
      <c r="AN122" s="273">
        <v>0</v>
      </c>
      <c r="AO122" s="273">
        <v>0</v>
      </c>
      <c r="AP122" s="273">
        <f t="shared" si="0"/>
        <v>0</v>
      </c>
      <c r="AQ122" s="273">
        <v>-4805.183234481141</v>
      </c>
      <c r="AR122" s="273">
        <v>2823551.551733333</v>
      </c>
      <c r="AS122" s="273">
        <v>1</v>
      </c>
      <c r="AT122" s="273">
        <v>4936</v>
      </c>
      <c r="AU122" s="273">
        <v>0</v>
      </c>
      <c r="AV122" s="273">
        <v>0</v>
      </c>
      <c r="AW122" s="273">
        <v>0</v>
      </c>
      <c r="AX122" s="273">
        <v>0</v>
      </c>
      <c r="AY122" s="273">
        <v>354.2</v>
      </c>
      <c r="AZ122" s="273">
        <v>13.9356295878035</v>
      </c>
      <c r="BA122" s="273">
        <v>3432</v>
      </c>
      <c r="BB122" s="273">
        <v>0.6952998379254457</v>
      </c>
      <c r="BC122" s="273">
        <v>0</v>
      </c>
      <c r="BD122" s="273">
        <v>0</v>
      </c>
      <c r="BE122" s="273">
        <v>4991</v>
      </c>
      <c r="BF122" s="273">
        <v>4936</v>
      </c>
      <c r="BG122" s="273">
        <v>-0.011019835704267681</v>
      </c>
      <c r="BH122" s="273">
        <v>0</v>
      </c>
      <c r="BI122" s="273">
        <v>0</v>
      </c>
      <c r="BJ122" s="273">
        <v>0</v>
      </c>
      <c r="BK122" s="273">
        <v>944367.445775907</v>
      </c>
      <c r="BL122" s="273">
        <v>6574.74</v>
      </c>
    </row>
    <row r="123" spans="6:64" s="273" customFormat="1" ht="12.75">
      <c r="F123" s="273">
        <v>164</v>
      </c>
      <c r="G123" s="273" t="s">
        <v>59</v>
      </c>
      <c r="H123" s="273">
        <v>574</v>
      </c>
      <c r="I123" s="273">
        <v>77</v>
      </c>
      <c r="J123" s="273">
        <v>518</v>
      </c>
      <c r="K123" s="273">
        <v>259</v>
      </c>
      <c r="L123" s="273">
        <v>5672</v>
      </c>
      <c r="M123" s="273">
        <v>979</v>
      </c>
      <c r="N123" s="273">
        <v>662</v>
      </c>
      <c r="O123" s="273">
        <v>243</v>
      </c>
      <c r="P123" s="273">
        <v>8130</v>
      </c>
      <c r="Q123" s="273">
        <v>0</v>
      </c>
      <c r="R123" s="273">
        <v>5</v>
      </c>
      <c r="S123" s="273">
        <v>818.7</v>
      </c>
      <c r="T123" s="273">
        <v>9.930377427629168</v>
      </c>
      <c r="U123" s="273">
        <v>0</v>
      </c>
      <c r="V123" s="273">
        <v>0</v>
      </c>
      <c r="W123" s="273">
        <v>3260</v>
      </c>
      <c r="X123" s="273">
        <v>579</v>
      </c>
      <c r="Y123" s="273">
        <v>38</v>
      </c>
      <c r="Z123" s="273">
        <v>0.8517249506963335</v>
      </c>
      <c r="AA123" s="273">
        <v>10</v>
      </c>
      <c r="AB123" s="273">
        <v>10</v>
      </c>
      <c r="AC123" s="273">
        <v>0.795755457855602</v>
      </c>
      <c r="AD123" s="273">
        <v>570</v>
      </c>
      <c r="AE123" s="273">
        <v>60</v>
      </c>
      <c r="AF123" s="273">
        <v>25</v>
      </c>
      <c r="AG123" s="273">
        <v>1</v>
      </c>
      <c r="AH123" s="273">
        <v>656</v>
      </c>
      <c r="AI123" s="273">
        <v>1.6043561779840905</v>
      </c>
      <c r="AJ123" s="273">
        <v>3672</v>
      </c>
      <c r="AK123" s="273">
        <v>289</v>
      </c>
      <c r="AL123" s="273">
        <v>0.8327055721158242</v>
      </c>
      <c r="AM123" s="273">
        <v>1.22043766872433</v>
      </c>
      <c r="AN123" s="273">
        <v>0</v>
      </c>
      <c r="AO123" s="273">
        <v>0</v>
      </c>
      <c r="AP123" s="273">
        <f t="shared" si="0"/>
        <v>0</v>
      </c>
      <c r="AQ123" s="273">
        <v>189868.21824070066</v>
      </c>
      <c r="AR123" s="273">
        <v>5445073.59092683</v>
      </c>
      <c r="AS123" s="273">
        <v>1</v>
      </c>
      <c r="AT123" s="273">
        <v>8130</v>
      </c>
      <c r="AU123" s="273">
        <v>0</v>
      </c>
      <c r="AV123" s="273">
        <v>0</v>
      </c>
      <c r="AW123" s="273">
        <v>0</v>
      </c>
      <c r="AX123" s="273">
        <v>0</v>
      </c>
      <c r="AY123" s="273">
        <v>818.7</v>
      </c>
      <c r="AZ123" s="273">
        <v>9.930377427629168</v>
      </c>
      <c r="BA123" s="273">
        <v>3692</v>
      </c>
      <c r="BB123" s="273">
        <v>0.45412054120541206</v>
      </c>
      <c r="BC123" s="273">
        <v>0</v>
      </c>
      <c r="BD123" s="273">
        <v>0</v>
      </c>
      <c r="BE123" s="273">
        <v>8343</v>
      </c>
      <c r="BF123" s="273">
        <v>8130</v>
      </c>
      <c r="BG123" s="273">
        <v>-0.025530384753685725</v>
      </c>
      <c r="BH123" s="273">
        <v>0</v>
      </c>
      <c r="BI123" s="273">
        <v>0</v>
      </c>
      <c r="BJ123" s="273">
        <v>0</v>
      </c>
      <c r="BK123" s="273">
        <v>1815789.4264149384</v>
      </c>
      <c r="BL123" s="273">
        <v>6802.66</v>
      </c>
    </row>
    <row r="124" spans="6:64" s="273" customFormat="1" ht="12.75">
      <c r="F124" s="273">
        <v>165</v>
      </c>
      <c r="G124" s="273" t="s">
        <v>60</v>
      </c>
      <c r="H124" s="273">
        <v>1403</v>
      </c>
      <c r="I124" s="273">
        <v>196</v>
      </c>
      <c r="J124" s="273">
        <v>1319</v>
      </c>
      <c r="K124" s="273">
        <v>679</v>
      </c>
      <c r="L124" s="273">
        <v>12364</v>
      </c>
      <c r="M124" s="273">
        <v>1799</v>
      </c>
      <c r="N124" s="273">
        <v>1006</v>
      </c>
      <c r="O124" s="273">
        <v>388</v>
      </c>
      <c r="P124" s="273">
        <v>16960</v>
      </c>
      <c r="Q124" s="273">
        <v>10</v>
      </c>
      <c r="R124" s="273">
        <v>29</v>
      </c>
      <c r="S124" s="273">
        <v>547.43</v>
      </c>
      <c r="T124" s="273">
        <v>30.981130007489543</v>
      </c>
      <c r="U124" s="273">
        <v>0</v>
      </c>
      <c r="V124" s="273">
        <v>0</v>
      </c>
      <c r="W124" s="273">
        <v>7248</v>
      </c>
      <c r="X124" s="273">
        <v>329</v>
      </c>
      <c r="Y124" s="273">
        <v>64</v>
      </c>
      <c r="Z124" s="273">
        <v>0.9935942766209971</v>
      </c>
      <c r="AA124" s="273">
        <v>35</v>
      </c>
      <c r="AB124" s="273">
        <v>35</v>
      </c>
      <c r="AC124" s="273">
        <v>1.3350956104528984</v>
      </c>
      <c r="AD124" s="273">
        <v>610</v>
      </c>
      <c r="AE124" s="273">
        <v>126</v>
      </c>
      <c r="AF124" s="273">
        <v>16</v>
      </c>
      <c r="AG124" s="273">
        <v>6</v>
      </c>
      <c r="AH124" s="273">
        <v>758</v>
      </c>
      <c r="AI124" s="273">
        <v>0.8886502244407641</v>
      </c>
      <c r="AJ124" s="273">
        <v>8082</v>
      </c>
      <c r="AK124" s="273">
        <v>635</v>
      </c>
      <c r="AL124" s="273">
        <v>0.831287365324588</v>
      </c>
      <c r="AM124" s="273">
        <v>0.819117866394201</v>
      </c>
      <c r="AN124" s="273">
        <v>0</v>
      </c>
      <c r="AO124" s="273">
        <v>0</v>
      </c>
      <c r="AP124" s="273">
        <f t="shared" si="0"/>
        <v>0</v>
      </c>
      <c r="AQ124" s="273">
        <v>-98206.12784617394</v>
      </c>
      <c r="AR124" s="273">
        <v>666056.7784923048</v>
      </c>
      <c r="AS124" s="273">
        <v>1</v>
      </c>
      <c r="AT124" s="273">
        <v>16960</v>
      </c>
      <c r="AU124" s="273">
        <v>0</v>
      </c>
      <c r="AV124" s="273">
        <v>0</v>
      </c>
      <c r="AW124" s="273">
        <v>0</v>
      </c>
      <c r="AX124" s="273">
        <v>0</v>
      </c>
      <c r="AY124" s="273">
        <v>547.43</v>
      </c>
      <c r="AZ124" s="273">
        <v>30.981130007489543</v>
      </c>
      <c r="BA124" s="273">
        <v>12798</v>
      </c>
      <c r="BB124" s="273">
        <v>0.7545990566037736</v>
      </c>
      <c r="BC124" s="273">
        <v>0</v>
      </c>
      <c r="BD124" s="273">
        <v>0</v>
      </c>
      <c r="BE124" s="273">
        <v>16589</v>
      </c>
      <c r="BF124" s="273">
        <v>16960</v>
      </c>
      <c r="BG124" s="273">
        <v>0.022364217252396165</v>
      </c>
      <c r="BH124" s="273">
        <v>0</v>
      </c>
      <c r="BI124" s="273">
        <v>0</v>
      </c>
      <c r="BJ124" s="273">
        <v>0</v>
      </c>
      <c r="BK124" s="273">
        <v>2270662.6167706433</v>
      </c>
      <c r="BL124" s="273">
        <v>6044.26</v>
      </c>
    </row>
    <row r="125" spans="6:64" s="273" customFormat="1" ht="12.75">
      <c r="F125" s="273">
        <v>167</v>
      </c>
      <c r="G125" s="273" t="s">
        <v>61</v>
      </c>
      <c r="H125" s="273">
        <v>5105</v>
      </c>
      <c r="I125" s="273">
        <v>695</v>
      </c>
      <c r="J125" s="273">
        <v>4230</v>
      </c>
      <c r="K125" s="273">
        <v>2361</v>
      </c>
      <c r="L125" s="273">
        <v>55720</v>
      </c>
      <c r="M125" s="273">
        <v>6899</v>
      </c>
      <c r="N125" s="273">
        <v>4456</v>
      </c>
      <c r="O125" s="273">
        <v>1578</v>
      </c>
      <c r="P125" s="273">
        <v>73758</v>
      </c>
      <c r="Q125" s="273">
        <v>1</v>
      </c>
      <c r="R125" s="273">
        <v>238</v>
      </c>
      <c r="S125" s="273">
        <v>2381.7</v>
      </c>
      <c r="T125" s="273">
        <v>30.968635848343624</v>
      </c>
      <c r="U125" s="273">
        <v>0</v>
      </c>
      <c r="V125" s="273">
        <v>0</v>
      </c>
      <c r="W125" s="273">
        <v>28341</v>
      </c>
      <c r="X125" s="273">
        <v>820</v>
      </c>
      <c r="Y125" s="273">
        <v>388</v>
      </c>
      <c r="Z125" s="273">
        <v>1.0057787403324943</v>
      </c>
      <c r="AA125" s="273">
        <v>141</v>
      </c>
      <c r="AB125" s="273">
        <v>141</v>
      </c>
      <c r="AC125" s="273">
        <v>1.2367449686862608</v>
      </c>
      <c r="AD125" s="273">
        <v>3104</v>
      </c>
      <c r="AE125" s="273">
        <v>370</v>
      </c>
      <c r="AF125" s="273">
        <v>111</v>
      </c>
      <c r="AG125" s="273">
        <v>41</v>
      </c>
      <c r="AH125" s="273">
        <v>3626</v>
      </c>
      <c r="AI125" s="273">
        <v>0.9774761395485796</v>
      </c>
      <c r="AJ125" s="273">
        <v>34056</v>
      </c>
      <c r="AK125" s="273">
        <v>4778</v>
      </c>
      <c r="AL125" s="273">
        <v>1.4843926962701435</v>
      </c>
      <c r="AM125" s="273">
        <v>1.0365981546363</v>
      </c>
      <c r="AN125" s="273">
        <v>0</v>
      </c>
      <c r="AO125" s="273">
        <v>0</v>
      </c>
      <c r="AP125" s="273">
        <f t="shared" si="0"/>
        <v>0</v>
      </c>
      <c r="AQ125" s="273">
        <v>12210.197223514318</v>
      </c>
      <c r="AR125" s="273">
        <v>19625787.323876932</v>
      </c>
      <c r="AS125" s="273">
        <v>1</v>
      </c>
      <c r="AT125" s="273">
        <v>73758</v>
      </c>
      <c r="AU125" s="273">
        <v>0</v>
      </c>
      <c r="AV125" s="273">
        <v>0</v>
      </c>
      <c r="AW125" s="273">
        <v>0</v>
      </c>
      <c r="AX125" s="273">
        <v>0</v>
      </c>
      <c r="AY125" s="273">
        <v>2381.7</v>
      </c>
      <c r="AZ125" s="273">
        <v>30.968635848343624</v>
      </c>
      <c r="BA125" s="273">
        <v>63378</v>
      </c>
      <c r="BB125" s="273">
        <v>0.8592695029691695</v>
      </c>
      <c r="BC125" s="273">
        <v>0</v>
      </c>
      <c r="BD125" s="273">
        <v>0</v>
      </c>
      <c r="BE125" s="273">
        <v>72433</v>
      </c>
      <c r="BF125" s="273">
        <v>73758</v>
      </c>
      <c r="BG125" s="273">
        <v>0.018292767108914445</v>
      </c>
      <c r="BH125" s="273">
        <v>0</v>
      </c>
      <c r="BI125" s="273">
        <v>2</v>
      </c>
      <c r="BJ125" s="273">
        <v>2.711570270343556E-05</v>
      </c>
      <c r="BK125" s="273">
        <v>13447486.78502728</v>
      </c>
      <c r="BL125" s="273">
        <v>6068.47</v>
      </c>
    </row>
    <row r="126" spans="6:64" s="273" customFormat="1" ht="12.75">
      <c r="F126" s="273">
        <v>169</v>
      </c>
      <c r="G126" s="273" t="s">
        <v>62</v>
      </c>
      <c r="H126" s="273">
        <v>439</v>
      </c>
      <c r="I126" s="273">
        <v>62</v>
      </c>
      <c r="J126" s="273">
        <v>469</v>
      </c>
      <c r="K126" s="273">
        <v>250</v>
      </c>
      <c r="L126" s="273">
        <v>4158</v>
      </c>
      <c r="M126" s="273">
        <v>554</v>
      </c>
      <c r="N126" s="273">
        <v>375</v>
      </c>
      <c r="O126" s="273">
        <v>150</v>
      </c>
      <c r="P126" s="273">
        <v>5676</v>
      </c>
      <c r="Q126" s="273">
        <v>9</v>
      </c>
      <c r="R126" s="273">
        <v>11</v>
      </c>
      <c r="S126" s="273">
        <v>180.43</v>
      </c>
      <c r="T126" s="273">
        <v>31.458183228953054</v>
      </c>
      <c r="U126" s="273">
        <v>0</v>
      </c>
      <c r="V126" s="273">
        <v>0</v>
      </c>
      <c r="W126" s="273">
        <v>2465</v>
      </c>
      <c r="X126" s="273">
        <v>181</v>
      </c>
      <c r="Y126" s="273">
        <v>29</v>
      </c>
      <c r="Z126" s="273">
        <v>0.9610576262996297</v>
      </c>
      <c r="AA126" s="273">
        <v>7</v>
      </c>
      <c r="AB126" s="273">
        <v>7</v>
      </c>
      <c r="AC126" s="273">
        <v>0.7978584056829159</v>
      </c>
      <c r="AD126" s="273">
        <v>221</v>
      </c>
      <c r="AE126" s="273">
        <v>51</v>
      </c>
      <c r="AF126" s="273">
        <v>15</v>
      </c>
      <c r="AG126" s="273">
        <v>1</v>
      </c>
      <c r="AH126" s="273">
        <v>288</v>
      </c>
      <c r="AI126" s="273">
        <v>1.0088755525455568</v>
      </c>
      <c r="AJ126" s="273">
        <v>2782</v>
      </c>
      <c r="AK126" s="273">
        <v>248</v>
      </c>
      <c r="AL126" s="273">
        <v>0.9431719052543763</v>
      </c>
      <c r="AM126" s="273">
        <v>0.600700747189382</v>
      </c>
      <c r="AN126" s="273">
        <v>0</v>
      </c>
      <c r="AO126" s="273">
        <v>0</v>
      </c>
      <c r="AP126" s="273">
        <f t="shared" si="0"/>
        <v>0</v>
      </c>
      <c r="AQ126" s="273">
        <v>222840.09286955744</v>
      </c>
      <c r="AR126" s="273">
        <v>1112151.5539951234</v>
      </c>
      <c r="AS126" s="273">
        <v>1</v>
      </c>
      <c r="AT126" s="273">
        <v>5676</v>
      </c>
      <c r="AU126" s="273">
        <v>0</v>
      </c>
      <c r="AV126" s="273">
        <v>0</v>
      </c>
      <c r="AW126" s="273">
        <v>0</v>
      </c>
      <c r="AX126" s="273">
        <v>0</v>
      </c>
      <c r="AY126" s="273">
        <v>180.43</v>
      </c>
      <c r="AZ126" s="273">
        <v>31.458183228953054</v>
      </c>
      <c r="BA126" s="273">
        <v>3772</v>
      </c>
      <c r="BB126" s="273">
        <v>0.6645525017618041</v>
      </c>
      <c r="BC126" s="273">
        <v>0</v>
      </c>
      <c r="BD126" s="273">
        <v>0</v>
      </c>
      <c r="BE126" s="273">
        <v>5767</v>
      </c>
      <c r="BF126" s="273">
        <v>5676</v>
      </c>
      <c r="BG126" s="273">
        <v>-0.015779434714756374</v>
      </c>
      <c r="BH126" s="273">
        <v>0</v>
      </c>
      <c r="BI126" s="273">
        <v>0</v>
      </c>
      <c r="BJ126" s="273">
        <v>0</v>
      </c>
      <c r="BK126" s="273">
        <v>895402.2596874202</v>
      </c>
      <c r="BL126" s="273">
        <v>6042.49</v>
      </c>
    </row>
    <row r="127" spans="6:64" s="273" customFormat="1" ht="12.75">
      <c r="F127" s="273">
        <v>171</v>
      </c>
      <c r="G127" s="273" t="s">
        <v>63</v>
      </c>
      <c r="H127" s="273">
        <v>358</v>
      </c>
      <c r="I127" s="273">
        <v>55</v>
      </c>
      <c r="J127" s="273">
        <v>336</v>
      </c>
      <c r="K127" s="273">
        <v>198</v>
      </c>
      <c r="L127" s="273">
        <v>3760</v>
      </c>
      <c r="M127" s="273">
        <v>663</v>
      </c>
      <c r="N127" s="273">
        <v>418</v>
      </c>
      <c r="O127" s="273">
        <v>143</v>
      </c>
      <c r="P127" s="273">
        <v>5342</v>
      </c>
      <c r="Q127" s="273">
        <v>0</v>
      </c>
      <c r="R127" s="273">
        <v>6</v>
      </c>
      <c r="S127" s="273">
        <v>575.18</v>
      </c>
      <c r="T127" s="273">
        <v>9.287527382732362</v>
      </c>
      <c r="U127" s="273">
        <v>0</v>
      </c>
      <c r="V127" s="273">
        <v>0</v>
      </c>
      <c r="W127" s="273">
        <v>2038</v>
      </c>
      <c r="X127" s="273">
        <v>329</v>
      </c>
      <c r="Y127" s="273">
        <v>18</v>
      </c>
      <c r="Z127" s="273">
        <v>0.8716843215206294</v>
      </c>
      <c r="AA127" s="273">
        <v>10</v>
      </c>
      <c r="AB127" s="273">
        <v>10</v>
      </c>
      <c r="AC127" s="273">
        <v>1.2110617507237074</v>
      </c>
      <c r="AD127" s="273">
        <v>317</v>
      </c>
      <c r="AE127" s="273">
        <v>22</v>
      </c>
      <c r="AF127" s="273">
        <v>12</v>
      </c>
      <c r="AG127" s="273">
        <v>1</v>
      </c>
      <c r="AH127" s="273">
        <v>352</v>
      </c>
      <c r="AI127" s="273">
        <v>1.310165855458513</v>
      </c>
      <c r="AJ127" s="273">
        <v>2373</v>
      </c>
      <c r="AK127" s="273">
        <v>259</v>
      </c>
      <c r="AL127" s="273">
        <v>1.1547775346780613</v>
      </c>
      <c r="AM127" s="273">
        <v>1.23490030542323</v>
      </c>
      <c r="AN127" s="273">
        <v>0</v>
      </c>
      <c r="AO127" s="273">
        <v>0</v>
      </c>
      <c r="AP127" s="273">
        <f t="shared" si="0"/>
        <v>0</v>
      </c>
      <c r="AQ127" s="273">
        <v>-48409.14895039052</v>
      </c>
      <c r="AR127" s="273">
        <v>2531108.410940259</v>
      </c>
      <c r="AS127" s="273">
        <v>1</v>
      </c>
      <c r="AT127" s="273">
        <v>5342</v>
      </c>
      <c r="AU127" s="273">
        <v>0</v>
      </c>
      <c r="AV127" s="273">
        <v>0</v>
      </c>
      <c r="AW127" s="273">
        <v>0</v>
      </c>
      <c r="AX127" s="273">
        <v>0</v>
      </c>
      <c r="AY127" s="273">
        <v>575.18</v>
      </c>
      <c r="AZ127" s="273">
        <v>9.287527382732362</v>
      </c>
      <c r="BA127" s="273">
        <v>3012</v>
      </c>
      <c r="BB127" s="273">
        <v>0.5638337701235492</v>
      </c>
      <c r="BC127" s="273">
        <v>0</v>
      </c>
      <c r="BD127" s="273">
        <v>0</v>
      </c>
      <c r="BE127" s="273">
        <v>5476</v>
      </c>
      <c r="BF127" s="273">
        <v>5342</v>
      </c>
      <c r="BG127" s="273">
        <v>-0.024470416362308255</v>
      </c>
      <c r="BH127" s="273">
        <v>0</v>
      </c>
      <c r="BI127" s="273">
        <v>0</v>
      </c>
      <c r="BJ127" s="273">
        <v>0</v>
      </c>
      <c r="BK127" s="273">
        <v>958563.5407871779</v>
      </c>
      <c r="BL127" s="273">
        <v>6849.01</v>
      </c>
    </row>
    <row r="128" spans="6:64" s="273" customFormat="1" ht="12.75">
      <c r="F128" s="273">
        <v>172</v>
      </c>
      <c r="G128" s="273" t="s">
        <v>64</v>
      </c>
      <c r="H128" s="273">
        <v>264</v>
      </c>
      <c r="I128" s="273">
        <v>37</v>
      </c>
      <c r="J128" s="273">
        <v>236</v>
      </c>
      <c r="K128" s="273">
        <v>151</v>
      </c>
      <c r="L128" s="273">
        <v>3204</v>
      </c>
      <c r="M128" s="273">
        <v>798</v>
      </c>
      <c r="N128" s="273">
        <v>515</v>
      </c>
      <c r="O128" s="273">
        <v>177</v>
      </c>
      <c r="P128" s="273">
        <v>4958</v>
      </c>
      <c r="Q128" s="273">
        <v>1</v>
      </c>
      <c r="R128" s="273">
        <v>5</v>
      </c>
      <c r="S128" s="273">
        <v>867.16</v>
      </c>
      <c r="T128" s="273">
        <v>5.717514645509479</v>
      </c>
      <c r="U128" s="273">
        <v>1</v>
      </c>
      <c r="V128" s="273">
        <v>0</v>
      </c>
      <c r="W128" s="273">
        <v>1788</v>
      </c>
      <c r="X128" s="273">
        <v>260</v>
      </c>
      <c r="Y128" s="273">
        <v>37</v>
      </c>
      <c r="Z128" s="273">
        <v>0.8760521014210092</v>
      </c>
      <c r="AA128" s="273">
        <v>6</v>
      </c>
      <c r="AB128" s="273">
        <v>6</v>
      </c>
      <c r="AC128" s="273">
        <v>0.7829155150100093</v>
      </c>
      <c r="AD128" s="273">
        <v>318</v>
      </c>
      <c r="AE128" s="273">
        <v>19</v>
      </c>
      <c r="AF128" s="273">
        <v>6</v>
      </c>
      <c r="AG128" s="273">
        <v>1</v>
      </c>
      <c r="AH128" s="273">
        <v>344</v>
      </c>
      <c r="AI128" s="273">
        <v>1.379556263494963</v>
      </c>
      <c r="AJ128" s="273">
        <v>2102</v>
      </c>
      <c r="AK128" s="273">
        <v>235</v>
      </c>
      <c r="AL128" s="273">
        <v>1.1828548396652834</v>
      </c>
      <c r="AM128" s="273">
        <v>1.19350292842409</v>
      </c>
      <c r="AN128" s="273">
        <v>0</v>
      </c>
      <c r="AO128" s="273">
        <v>0</v>
      </c>
      <c r="AP128" s="273">
        <f t="shared" si="0"/>
        <v>0</v>
      </c>
      <c r="AQ128" s="273">
        <v>-40989.04836730845</v>
      </c>
      <c r="AR128" s="273">
        <v>3668451.5601846133</v>
      </c>
      <c r="AS128" s="273">
        <v>1</v>
      </c>
      <c r="AT128" s="273">
        <v>4958</v>
      </c>
      <c r="AU128" s="273">
        <v>1</v>
      </c>
      <c r="AV128" s="273">
        <v>342</v>
      </c>
      <c r="AW128" s="273">
        <v>0.06897942718838242</v>
      </c>
      <c r="AX128" s="273">
        <v>0.42745</v>
      </c>
      <c r="AY128" s="273">
        <v>867.16</v>
      </c>
      <c r="AZ128" s="273">
        <v>5.717514645509479</v>
      </c>
      <c r="BA128" s="273">
        <v>2860</v>
      </c>
      <c r="BB128" s="273">
        <v>0.5768455022186365</v>
      </c>
      <c r="BC128" s="273">
        <v>0</v>
      </c>
      <c r="BD128" s="273">
        <v>0</v>
      </c>
      <c r="BE128" s="273">
        <v>5122</v>
      </c>
      <c r="BF128" s="273">
        <v>4958</v>
      </c>
      <c r="BG128" s="273">
        <v>-0.03201874267864115</v>
      </c>
      <c r="BH128" s="273">
        <v>0</v>
      </c>
      <c r="BI128" s="273">
        <v>0</v>
      </c>
      <c r="BJ128" s="273">
        <v>0</v>
      </c>
      <c r="BK128" s="273">
        <v>1121472.9113939411</v>
      </c>
      <c r="BL128" s="273">
        <v>7174.68</v>
      </c>
    </row>
    <row r="129" spans="6:64" s="273" customFormat="1" ht="12.75">
      <c r="F129" s="273">
        <v>174</v>
      </c>
      <c r="G129" s="273" t="s">
        <v>65</v>
      </c>
      <c r="H129" s="273">
        <v>278</v>
      </c>
      <c r="I129" s="273">
        <v>35</v>
      </c>
      <c r="J129" s="273">
        <v>279</v>
      </c>
      <c r="K129" s="273">
        <v>162</v>
      </c>
      <c r="L129" s="273">
        <v>3605</v>
      </c>
      <c r="M129" s="273">
        <v>659</v>
      </c>
      <c r="N129" s="273">
        <v>451</v>
      </c>
      <c r="O129" s="273">
        <v>153</v>
      </c>
      <c r="P129" s="273">
        <v>5146</v>
      </c>
      <c r="Q129" s="273">
        <v>0</v>
      </c>
      <c r="R129" s="273">
        <v>9</v>
      </c>
      <c r="S129" s="273">
        <v>465.32</v>
      </c>
      <c r="T129" s="273">
        <v>11.059056133413565</v>
      </c>
      <c r="U129" s="273">
        <v>0</v>
      </c>
      <c r="V129" s="273">
        <v>0</v>
      </c>
      <c r="W129" s="273">
        <v>1868</v>
      </c>
      <c r="X129" s="273">
        <v>345</v>
      </c>
      <c r="Y129" s="273">
        <v>20</v>
      </c>
      <c r="Z129" s="273">
        <v>0.8452825731990691</v>
      </c>
      <c r="AA129" s="273">
        <v>6</v>
      </c>
      <c r="AB129" s="273">
        <v>6</v>
      </c>
      <c r="AC129" s="273">
        <v>0.7543130826699624</v>
      </c>
      <c r="AD129" s="273">
        <v>406</v>
      </c>
      <c r="AE129" s="273">
        <v>25</v>
      </c>
      <c r="AF129" s="273">
        <v>6</v>
      </c>
      <c r="AG129" s="273">
        <v>5</v>
      </c>
      <c r="AH129" s="273">
        <v>442</v>
      </c>
      <c r="AI129" s="273">
        <v>1.707811700580462</v>
      </c>
      <c r="AJ129" s="273">
        <v>2271</v>
      </c>
      <c r="AK129" s="273">
        <v>250</v>
      </c>
      <c r="AL129" s="273">
        <v>1.164713676127503</v>
      </c>
      <c r="AM129" s="273">
        <v>1.67156034834806</v>
      </c>
      <c r="AN129" s="273">
        <v>0</v>
      </c>
      <c r="AO129" s="273">
        <v>0</v>
      </c>
      <c r="AP129" s="273">
        <f t="shared" si="0"/>
        <v>0</v>
      </c>
      <c r="AQ129" s="273">
        <v>113452.5180101823</v>
      </c>
      <c r="AR129" s="273">
        <v>3608531.721142854</v>
      </c>
      <c r="AS129" s="273">
        <v>1</v>
      </c>
      <c r="AT129" s="273">
        <v>5146</v>
      </c>
      <c r="AU129" s="273">
        <v>0</v>
      </c>
      <c r="AV129" s="273">
        <v>0</v>
      </c>
      <c r="AW129" s="273">
        <v>0</v>
      </c>
      <c r="AX129" s="273">
        <v>0</v>
      </c>
      <c r="AY129" s="273">
        <v>465.32</v>
      </c>
      <c r="AZ129" s="273">
        <v>11.059056133413565</v>
      </c>
      <c r="BA129" s="273">
        <v>2859</v>
      </c>
      <c r="BB129" s="273">
        <v>0.5555771472988729</v>
      </c>
      <c r="BC129" s="273">
        <v>0</v>
      </c>
      <c r="BD129" s="273">
        <v>0</v>
      </c>
      <c r="BE129" s="273">
        <v>5374</v>
      </c>
      <c r="BF129" s="273">
        <v>5146</v>
      </c>
      <c r="BG129" s="273">
        <v>-0.04242649795310755</v>
      </c>
      <c r="BH129" s="273">
        <v>0</v>
      </c>
      <c r="BI129" s="273">
        <v>0</v>
      </c>
      <c r="BJ129" s="273">
        <v>0</v>
      </c>
      <c r="BK129" s="273">
        <v>1151059.7860684243</v>
      </c>
      <c r="BL129" s="273">
        <v>6744.22</v>
      </c>
    </row>
    <row r="130" spans="6:64" s="273" customFormat="1" ht="12.75">
      <c r="F130" s="273">
        <v>176</v>
      </c>
      <c r="G130" s="273" t="s">
        <v>66</v>
      </c>
      <c r="H130" s="273">
        <v>301</v>
      </c>
      <c r="I130" s="273">
        <v>61</v>
      </c>
      <c r="J130" s="273">
        <v>269</v>
      </c>
      <c r="K130" s="273">
        <v>183</v>
      </c>
      <c r="L130" s="273">
        <v>3662</v>
      </c>
      <c r="M130" s="273">
        <v>753</v>
      </c>
      <c r="N130" s="273">
        <v>546</v>
      </c>
      <c r="O130" s="273">
        <v>191</v>
      </c>
      <c r="P130" s="273">
        <v>5453</v>
      </c>
      <c r="Q130" s="273">
        <v>0</v>
      </c>
      <c r="R130" s="273">
        <v>15</v>
      </c>
      <c r="S130" s="273">
        <v>1501.79</v>
      </c>
      <c r="T130" s="273">
        <v>3.6310003395947503</v>
      </c>
      <c r="U130" s="273">
        <v>1</v>
      </c>
      <c r="V130" s="273">
        <v>0</v>
      </c>
      <c r="W130" s="273">
        <v>1880</v>
      </c>
      <c r="X130" s="273">
        <v>272</v>
      </c>
      <c r="Y130" s="273">
        <v>42</v>
      </c>
      <c r="Z130" s="273">
        <v>0.8750920032234674</v>
      </c>
      <c r="AA130" s="273">
        <v>9</v>
      </c>
      <c r="AB130" s="273">
        <v>9</v>
      </c>
      <c r="AC130" s="273">
        <v>1.0677686934035284</v>
      </c>
      <c r="AD130" s="273">
        <v>457</v>
      </c>
      <c r="AE130" s="273">
        <v>28</v>
      </c>
      <c r="AF130" s="273">
        <v>9</v>
      </c>
      <c r="AG130" s="273">
        <v>6</v>
      </c>
      <c r="AH130" s="273">
        <v>500</v>
      </c>
      <c r="AI130" s="273">
        <v>1.8231483294900679</v>
      </c>
      <c r="AJ130" s="273">
        <v>2294</v>
      </c>
      <c r="AK130" s="273">
        <v>293</v>
      </c>
      <c r="AL130" s="273">
        <v>1.351358281144322</v>
      </c>
      <c r="AM130" s="273">
        <v>1.71868375708194</v>
      </c>
      <c r="AN130" s="273">
        <v>0.05</v>
      </c>
      <c r="AO130" s="273">
        <v>0</v>
      </c>
      <c r="AP130" s="273">
        <f t="shared" si="0"/>
        <v>0.05</v>
      </c>
      <c r="AQ130" s="273">
        <v>155506.09383029118</v>
      </c>
      <c r="AR130" s="273">
        <v>4771470.65866835</v>
      </c>
      <c r="AS130" s="273">
        <v>1</v>
      </c>
      <c r="AT130" s="273">
        <v>5453</v>
      </c>
      <c r="AU130" s="273">
        <v>1</v>
      </c>
      <c r="AV130" s="273">
        <v>238</v>
      </c>
      <c r="AW130" s="273">
        <v>0.043645699614890884</v>
      </c>
      <c r="AX130" s="273">
        <v>0.9867833333333333</v>
      </c>
      <c r="AY130" s="273">
        <v>1501.79</v>
      </c>
      <c r="AZ130" s="273">
        <v>3.6310003395947503</v>
      </c>
      <c r="BA130" s="273">
        <v>2528</v>
      </c>
      <c r="BB130" s="273">
        <v>0.463598019438841</v>
      </c>
      <c r="BC130" s="273">
        <v>0</v>
      </c>
      <c r="BD130" s="273">
        <v>0</v>
      </c>
      <c r="BE130" s="273">
        <v>5762</v>
      </c>
      <c r="BF130" s="273">
        <v>5453</v>
      </c>
      <c r="BG130" s="273">
        <v>-0.05362721277334259</v>
      </c>
      <c r="BH130" s="273">
        <v>0</v>
      </c>
      <c r="BI130" s="273">
        <v>0</v>
      </c>
      <c r="BJ130" s="273">
        <v>0</v>
      </c>
      <c r="BK130" s="273">
        <v>1465683.4078063094</v>
      </c>
      <c r="BL130" s="273">
        <v>7597.28</v>
      </c>
    </row>
    <row r="131" spans="6:64" s="273" customFormat="1" ht="12.75">
      <c r="F131" s="273">
        <v>177</v>
      </c>
      <c r="G131" s="273" t="s">
        <v>67</v>
      </c>
      <c r="H131" s="273">
        <v>137</v>
      </c>
      <c r="I131" s="273">
        <v>25</v>
      </c>
      <c r="J131" s="273">
        <v>134</v>
      </c>
      <c r="K131" s="273">
        <v>74</v>
      </c>
      <c r="L131" s="273">
        <v>1415</v>
      </c>
      <c r="M131" s="273">
        <v>253</v>
      </c>
      <c r="N131" s="273">
        <v>167</v>
      </c>
      <c r="O131" s="273">
        <v>74</v>
      </c>
      <c r="P131" s="273">
        <v>2046</v>
      </c>
      <c r="Q131" s="273">
        <v>0</v>
      </c>
      <c r="R131" s="273">
        <v>5</v>
      </c>
      <c r="S131" s="273">
        <v>258.5</v>
      </c>
      <c r="T131" s="273">
        <v>7.914893617021277</v>
      </c>
      <c r="U131" s="273">
        <v>0</v>
      </c>
      <c r="V131" s="273">
        <v>0</v>
      </c>
      <c r="W131" s="273">
        <v>800</v>
      </c>
      <c r="X131" s="273">
        <v>88</v>
      </c>
      <c r="Y131" s="273">
        <v>9</v>
      </c>
      <c r="Z131" s="273">
        <v>0.9231773588284351</v>
      </c>
      <c r="AA131" s="273">
        <v>1</v>
      </c>
      <c r="AB131" s="273">
        <v>2</v>
      </c>
      <c r="AC131" s="273">
        <v>0.6324038975919887</v>
      </c>
      <c r="AD131" s="273">
        <v>114</v>
      </c>
      <c r="AE131" s="273">
        <v>17</v>
      </c>
      <c r="AF131" s="273">
        <v>4</v>
      </c>
      <c r="AG131" s="273">
        <v>0</v>
      </c>
      <c r="AH131" s="273">
        <v>135</v>
      </c>
      <c r="AI131" s="273">
        <v>1.3119450229675083</v>
      </c>
      <c r="AJ131" s="273">
        <v>924</v>
      </c>
      <c r="AK131" s="273">
        <v>95</v>
      </c>
      <c r="AL131" s="273">
        <v>1.0877971950481737</v>
      </c>
      <c r="AM131" s="273">
        <v>1.07496932403013</v>
      </c>
      <c r="AN131" s="273">
        <v>0</v>
      </c>
      <c r="AO131" s="273">
        <v>0</v>
      </c>
      <c r="AP131" s="273">
        <f t="shared" si="0"/>
        <v>0</v>
      </c>
      <c r="AQ131" s="273">
        <v>63092.34340299107</v>
      </c>
      <c r="AR131" s="273">
        <v>1118800.6634842113</v>
      </c>
      <c r="AS131" s="273">
        <v>1</v>
      </c>
      <c r="AT131" s="273">
        <v>2046</v>
      </c>
      <c r="AU131" s="273">
        <v>0</v>
      </c>
      <c r="AV131" s="273">
        <v>0</v>
      </c>
      <c r="AW131" s="273">
        <v>0</v>
      </c>
      <c r="AX131" s="273">
        <v>0</v>
      </c>
      <c r="AY131" s="273">
        <v>258.5</v>
      </c>
      <c r="AZ131" s="273">
        <v>7.914893617021277</v>
      </c>
      <c r="BA131" s="273">
        <v>924</v>
      </c>
      <c r="BB131" s="273">
        <v>0.45161290322580644</v>
      </c>
      <c r="BC131" s="273">
        <v>0</v>
      </c>
      <c r="BD131" s="273">
        <v>0</v>
      </c>
      <c r="BE131" s="273">
        <v>2173</v>
      </c>
      <c r="BF131" s="273">
        <v>2046</v>
      </c>
      <c r="BG131" s="273">
        <v>-0.05844454670961804</v>
      </c>
      <c r="BH131" s="273">
        <v>0</v>
      </c>
      <c r="BI131" s="273">
        <v>0</v>
      </c>
      <c r="BJ131" s="273">
        <v>0</v>
      </c>
      <c r="BK131" s="273">
        <v>468583.974298267</v>
      </c>
      <c r="BL131" s="273">
        <v>6974.19</v>
      </c>
    </row>
    <row r="132" spans="6:64" s="273" customFormat="1" ht="12.75">
      <c r="F132" s="273">
        <v>178</v>
      </c>
      <c r="G132" s="273" t="s">
        <v>68</v>
      </c>
      <c r="H132" s="273">
        <v>373</v>
      </c>
      <c r="I132" s="273">
        <v>56</v>
      </c>
      <c r="J132" s="273">
        <v>396</v>
      </c>
      <c r="K132" s="273">
        <v>231</v>
      </c>
      <c r="L132" s="273">
        <v>4654</v>
      </c>
      <c r="M132" s="273">
        <v>948</v>
      </c>
      <c r="N132" s="273">
        <v>684</v>
      </c>
      <c r="O132" s="273">
        <v>243</v>
      </c>
      <c r="P132" s="273">
        <v>6902</v>
      </c>
      <c r="Q132" s="273">
        <v>1</v>
      </c>
      <c r="R132" s="273">
        <v>15</v>
      </c>
      <c r="S132" s="273">
        <v>1163.24</v>
      </c>
      <c r="T132" s="273">
        <v>5.933427323682129</v>
      </c>
      <c r="U132" s="273">
        <v>0</v>
      </c>
      <c r="V132" s="273">
        <v>0</v>
      </c>
      <c r="W132" s="273">
        <v>2706</v>
      </c>
      <c r="X132" s="273">
        <v>525</v>
      </c>
      <c r="Y132" s="273">
        <v>31</v>
      </c>
      <c r="Z132" s="273">
        <v>0.834700117007203</v>
      </c>
      <c r="AA132" s="273">
        <v>15</v>
      </c>
      <c r="AB132" s="273">
        <v>15</v>
      </c>
      <c r="AC132" s="273">
        <v>1.4060037392855789</v>
      </c>
      <c r="AD132" s="273">
        <v>461</v>
      </c>
      <c r="AE132" s="273">
        <v>54</v>
      </c>
      <c r="AF132" s="273">
        <v>12</v>
      </c>
      <c r="AG132" s="273">
        <v>3</v>
      </c>
      <c r="AH132" s="273">
        <v>530</v>
      </c>
      <c r="AI132" s="273">
        <v>1.5268220097293395</v>
      </c>
      <c r="AJ132" s="273">
        <v>3029</v>
      </c>
      <c r="AK132" s="273">
        <v>231</v>
      </c>
      <c r="AL132" s="273">
        <v>0.8068801046023957</v>
      </c>
      <c r="AM132" s="273">
        <v>1.13988488352067</v>
      </c>
      <c r="AN132" s="273">
        <v>0</v>
      </c>
      <c r="AO132" s="273">
        <v>0</v>
      </c>
      <c r="AP132" s="273">
        <f t="shared" si="0"/>
        <v>0</v>
      </c>
      <c r="AQ132" s="273">
        <v>90682.62796044722</v>
      </c>
      <c r="AR132" s="273">
        <v>4482057.74143291</v>
      </c>
      <c r="AS132" s="273">
        <v>0</v>
      </c>
      <c r="AT132" s="273">
        <v>6902</v>
      </c>
      <c r="AU132" s="273">
        <v>0</v>
      </c>
      <c r="AV132" s="273">
        <v>0</v>
      </c>
      <c r="AW132" s="273">
        <v>0</v>
      </c>
      <c r="AX132" s="273">
        <v>0.40626666666666666</v>
      </c>
      <c r="AY132" s="273">
        <v>1163.24</v>
      </c>
      <c r="AZ132" s="273">
        <v>5.933427323682129</v>
      </c>
      <c r="BA132" s="273">
        <v>3456</v>
      </c>
      <c r="BB132" s="273">
        <v>0.5007244277021153</v>
      </c>
      <c r="BC132" s="273">
        <v>0</v>
      </c>
      <c r="BD132" s="273">
        <v>0</v>
      </c>
      <c r="BE132" s="273">
        <v>7135</v>
      </c>
      <c r="BF132" s="273">
        <v>6902</v>
      </c>
      <c r="BG132" s="273">
        <v>-0.03265592151366503</v>
      </c>
      <c r="BH132" s="273">
        <v>0</v>
      </c>
      <c r="BI132" s="273">
        <v>0</v>
      </c>
      <c r="BJ132" s="273">
        <v>0</v>
      </c>
      <c r="BK132" s="273">
        <v>1440494.9370378188</v>
      </c>
      <c r="BL132" s="273">
        <v>7167.5</v>
      </c>
    </row>
    <row r="133" spans="6:64" s="273" customFormat="1" ht="12.75">
      <c r="F133" s="273">
        <v>179</v>
      </c>
      <c r="G133" s="273" t="s">
        <v>69</v>
      </c>
      <c r="H133" s="273">
        <v>10906</v>
      </c>
      <c r="I133" s="273">
        <v>1366</v>
      </c>
      <c r="J133" s="273">
        <v>7835</v>
      </c>
      <c r="K133" s="273">
        <v>4072</v>
      </c>
      <c r="L133" s="273">
        <v>101539</v>
      </c>
      <c r="M133" s="273">
        <v>11055</v>
      </c>
      <c r="N133" s="273">
        <v>6227</v>
      </c>
      <c r="O133" s="273">
        <v>2335</v>
      </c>
      <c r="P133" s="273">
        <v>132062</v>
      </c>
      <c r="Q133" s="273">
        <v>32</v>
      </c>
      <c r="R133" s="273">
        <v>466</v>
      </c>
      <c r="S133" s="273">
        <v>1171.01</v>
      </c>
      <c r="T133" s="273">
        <v>112.77615050255763</v>
      </c>
      <c r="U133" s="273">
        <v>1</v>
      </c>
      <c r="V133" s="273">
        <v>0</v>
      </c>
      <c r="W133" s="273">
        <v>55227</v>
      </c>
      <c r="X133" s="273">
        <v>554</v>
      </c>
      <c r="Y133" s="273">
        <v>592</v>
      </c>
      <c r="Z133" s="273">
        <v>1.0287576263666691</v>
      </c>
      <c r="AA133" s="273">
        <v>226</v>
      </c>
      <c r="AB133" s="273">
        <v>226</v>
      </c>
      <c r="AC133" s="273">
        <v>1.1071354084859582</v>
      </c>
      <c r="AD133" s="273">
        <v>5106</v>
      </c>
      <c r="AE133" s="273">
        <v>880</v>
      </c>
      <c r="AF133" s="273">
        <v>356</v>
      </c>
      <c r="AG133" s="273">
        <v>3</v>
      </c>
      <c r="AH133" s="273">
        <v>6345</v>
      </c>
      <c r="AI133" s="273">
        <v>0.9553032461919518</v>
      </c>
      <c r="AJ133" s="273">
        <v>64391</v>
      </c>
      <c r="AK133" s="273">
        <v>7968</v>
      </c>
      <c r="AL133" s="273">
        <v>1.3092435896701673</v>
      </c>
      <c r="AM133" s="273">
        <v>1.01204625974465</v>
      </c>
      <c r="AN133" s="273">
        <v>0</v>
      </c>
      <c r="AO133" s="273">
        <v>0</v>
      </c>
      <c r="AP133" s="273">
        <f t="shared" si="0"/>
        <v>0</v>
      </c>
      <c r="AQ133" s="273">
        <v>1194022.427228272</v>
      </c>
      <c r="AR133" s="273">
        <v>3163550.0249262457</v>
      </c>
      <c r="AS133" s="273">
        <v>1</v>
      </c>
      <c r="AT133" s="273">
        <v>132062</v>
      </c>
      <c r="AU133" s="273">
        <v>1</v>
      </c>
      <c r="AV133" s="273">
        <v>521</v>
      </c>
      <c r="AW133" s="273">
        <v>0.003945116687616422</v>
      </c>
      <c r="AX133" s="273">
        <v>0</v>
      </c>
      <c r="AY133" s="273">
        <v>1171.01</v>
      </c>
      <c r="AZ133" s="273">
        <v>112.77615050255763</v>
      </c>
      <c r="BA133" s="273">
        <v>122893</v>
      </c>
      <c r="BB133" s="273">
        <v>0.9305704896185125</v>
      </c>
      <c r="BC133" s="273">
        <v>0</v>
      </c>
      <c r="BD133" s="273">
        <v>0</v>
      </c>
      <c r="BE133" s="273">
        <v>128028</v>
      </c>
      <c r="BF133" s="273">
        <v>132062</v>
      </c>
      <c r="BG133" s="273">
        <v>0.03150873246477333</v>
      </c>
      <c r="BH133" s="273">
        <v>0</v>
      </c>
      <c r="BI133" s="273">
        <v>6</v>
      </c>
      <c r="BJ133" s="273">
        <v>4.5433205615544214E-05</v>
      </c>
      <c r="BK133" s="273">
        <v>20494744.402125627</v>
      </c>
      <c r="BL133" s="273">
        <v>5897.85</v>
      </c>
    </row>
    <row r="134" spans="6:64" s="273" customFormat="1" ht="12.75">
      <c r="F134" s="273">
        <v>181</v>
      </c>
      <c r="G134" s="273" t="s">
        <v>70</v>
      </c>
      <c r="H134" s="273">
        <v>114</v>
      </c>
      <c r="I134" s="273">
        <v>16</v>
      </c>
      <c r="J134" s="273">
        <v>143</v>
      </c>
      <c r="K134" s="273">
        <v>89</v>
      </c>
      <c r="L134" s="273">
        <v>1410</v>
      </c>
      <c r="M134" s="273">
        <v>222</v>
      </c>
      <c r="N134" s="273">
        <v>175</v>
      </c>
      <c r="O134" s="273">
        <v>82</v>
      </c>
      <c r="P134" s="273">
        <v>2003</v>
      </c>
      <c r="Q134" s="273">
        <v>0</v>
      </c>
      <c r="R134" s="273">
        <v>2</v>
      </c>
      <c r="S134" s="273">
        <v>214.34</v>
      </c>
      <c r="T134" s="273">
        <v>9.34496594196137</v>
      </c>
      <c r="U134" s="273">
        <v>0</v>
      </c>
      <c r="V134" s="273">
        <v>0</v>
      </c>
      <c r="W134" s="273">
        <v>775</v>
      </c>
      <c r="X134" s="273">
        <v>143</v>
      </c>
      <c r="Y134" s="273">
        <v>6</v>
      </c>
      <c r="Z134" s="273">
        <v>0.8485793076699496</v>
      </c>
      <c r="AA134" s="273">
        <v>4</v>
      </c>
      <c r="AB134" s="273">
        <v>2</v>
      </c>
      <c r="AC134" s="273">
        <v>0.6459802169112376</v>
      </c>
      <c r="AD134" s="273">
        <v>136</v>
      </c>
      <c r="AE134" s="273">
        <v>7</v>
      </c>
      <c r="AG134" s="273">
        <v>0</v>
      </c>
      <c r="AH134" s="273">
        <v>143</v>
      </c>
      <c r="AI134" s="273">
        <v>1.4195234959774696</v>
      </c>
      <c r="AJ134" s="273">
        <v>897</v>
      </c>
      <c r="AK134" s="273">
        <v>85</v>
      </c>
      <c r="AL134" s="273">
        <v>1.0025886487013267</v>
      </c>
      <c r="AM134" s="273">
        <v>0.822942777256411</v>
      </c>
      <c r="AN134" s="273">
        <v>0</v>
      </c>
      <c r="AO134" s="273">
        <v>0</v>
      </c>
      <c r="AP134" s="273">
        <f t="shared" si="0"/>
        <v>0</v>
      </c>
      <c r="AQ134" s="273">
        <v>3841.2930621225387</v>
      </c>
      <c r="AR134" s="273">
        <v>1686420.8354531634</v>
      </c>
      <c r="AS134" s="273">
        <v>1</v>
      </c>
      <c r="AT134" s="273">
        <v>2003</v>
      </c>
      <c r="AU134" s="273">
        <v>0</v>
      </c>
      <c r="AV134" s="273">
        <v>0</v>
      </c>
      <c r="AW134" s="273">
        <v>0</v>
      </c>
      <c r="AX134" s="273">
        <v>0</v>
      </c>
      <c r="AY134" s="273">
        <v>214.34</v>
      </c>
      <c r="AZ134" s="273">
        <v>9.34496594196137</v>
      </c>
      <c r="BA134" s="273">
        <v>719</v>
      </c>
      <c r="BB134" s="273">
        <v>0.35896155766350474</v>
      </c>
      <c r="BC134" s="273">
        <v>0</v>
      </c>
      <c r="BD134" s="273">
        <v>0</v>
      </c>
      <c r="BE134" s="273">
        <v>2103</v>
      </c>
      <c r="BF134" s="273">
        <v>2003</v>
      </c>
      <c r="BG134" s="273">
        <v>-0.0475511174512601</v>
      </c>
      <c r="BH134" s="273">
        <v>0</v>
      </c>
      <c r="BI134" s="273">
        <v>0</v>
      </c>
      <c r="BJ134" s="273">
        <v>0</v>
      </c>
      <c r="BK134" s="273">
        <v>562812.5204929373</v>
      </c>
      <c r="BL134" s="273">
        <v>6840.81</v>
      </c>
    </row>
    <row r="135" spans="6:64" s="273" customFormat="1" ht="12.75">
      <c r="F135" s="273">
        <v>182</v>
      </c>
      <c r="G135" s="273" t="s">
        <v>71</v>
      </c>
      <c r="H135" s="273">
        <v>1434</v>
      </c>
      <c r="I135" s="273">
        <v>203</v>
      </c>
      <c r="J135" s="273">
        <v>1426</v>
      </c>
      <c r="K135" s="273">
        <v>808</v>
      </c>
      <c r="L135" s="273">
        <v>15701</v>
      </c>
      <c r="M135" s="273">
        <v>2879</v>
      </c>
      <c r="N135" s="273">
        <v>1820</v>
      </c>
      <c r="O135" s="273">
        <v>673</v>
      </c>
      <c r="P135" s="273">
        <v>22507</v>
      </c>
      <c r="Q135" s="273">
        <v>0</v>
      </c>
      <c r="R135" s="273">
        <v>28</v>
      </c>
      <c r="S135" s="273">
        <v>1571.32</v>
      </c>
      <c r="T135" s="273">
        <v>14.323625995977904</v>
      </c>
      <c r="U135" s="273">
        <v>0</v>
      </c>
      <c r="V135" s="273">
        <v>0</v>
      </c>
      <c r="W135" s="273">
        <v>8598</v>
      </c>
      <c r="X135" s="273">
        <v>347</v>
      </c>
      <c r="Y135" s="273">
        <v>101</v>
      </c>
      <c r="Z135" s="273">
        <v>0.9958180058350592</v>
      </c>
      <c r="AA135" s="273">
        <v>54</v>
      </c>
      <c r="AB135" s="273">
        <v>54</v>
      </c>
      <c r="AC135" s="273">
        <v>1.5521951442118735</v>
      </c>
      <c r="AD135" s="273">
        <v>1270</v>
      </c>
      <c r="AE135" s="273">
        <v>171</v>
      </c>
      <c r="AF135" s="273">
        <v>37</v>
      </c>
      <c r="AG135" s="273">
        <v>7</v>
      </c>
      <c r="AH135" s="273">
        <v>1485</v>
      </c>
      <c r="AI135" s="273">
        <v>1.3118867324346533</v>
      </c>
      <c r="AJ135" s="273">
        <v>10168</v>
      </c>
      <c r="AK135" s="273">
        <v>1337</v>
      </c>
      <c r="AL135" s="273">
        <v>1.3912083328462599</v>
      </c>
      <c r="AM135" s="273">
        <v>1.17335108385774</v>
      </c>
      <c r="AN135" s="273">
        <v>0</v>
      </c>
      <c r="AO135" s="273">
        <v>0</v>
      </c>
      <c r="AP135" s="273">
        <f t="shared" si="0"/>
        <v>0</v>
      </c>
      <c r="AQ135" s="273">
        <v>-265582.5474530235</v>
      </c>
      <c r="AR135" s="273">
        <v>2471834.739771412</v>
      </c>
      <c r="AS135" s="273">
        <v>1</v>
      </c>
      <c r="AT135" s="273">
        <v>22507</v>
      </c>
      <c r="AU135" s="273">
        <v>0</v>
      </c>
      <c r="AV135" s="273">
        <v>0</v>
      </c>
      <c r="AW135" s="273">
        <v>0</v>
      </c>
      <c r="AX135" s="273">
        <v>0</v>
      </c>
      <c r="AY135" s="273">
        <v>1571.32</v>
      </c>
      <c r="AZ135" s="273">
        <v>14.323625995977904</v>
      </c>
      <c r="BA135" s="273">
        <v>16487</v>
      </c>
      <c r="BB135" s="273">
        <v>0.7325276580619363</v>
      </c>
      <c r="BC135" s="273">
        <v>0</v>
      </c>
      <c r="BD135" s="273">
        <v>0</v>
      </c>
      <c r="BE135" s="273">
        <v>23167</v>
      </c>
      <c r="BF135" s="273">
        <v>22507</v>
      </c>
      <c r="BG135" s="273">
        <v>-0.028488798722320543</v>
      </c>
      <c r="BH135" s="273">
        <v>0</v>
      </c>
      <c r="BI135" s="273">
        <v>1</v>
      </c>
      <c r="BJ135" s="273">
        <v>4.443062158439597E-05</v>
      </c>
      <c r="BK135" s="273">
        <v>4185825.2400992997</v>
      </c>
      <c r="BL135" s="273">
        <v>6560.41</v>
      </c>
    </row>
    <row r="136" spans="6:64" s="273" customFormat="1" ht="12.75">
      <c r="F136" s="273">
        <v>186</v>
      </c>
      <c r="G136" s="273" t="s">
        <v>72</v>
      </c>
      <c r="H136" s="273">
        <v>3308</v>
      </c>
      <c r="I136" s="273">
        <v>447</v>
      </c>
      <c r="J136" s="273">
        <v>2686</v>
      </c>
      <c r="K136" s="273">
        <v>1357</v>
      </c>
      <c r="L136" s="273">
        <v>30566</v>
      </c>
      <c r="M136" s="273">
        <v>3167</v>
      </c>
      <c r="N136" s="273">
        <v>1470</v>
      </c>
      <c r="O136" s="273">
        <v>455</v>
      </c>
      <c r="P136" s="273">
        <v>38966</v>
      </c>
      <c r="Q136" s="273">
        <v>34</v>
      </c>
      <c r="R136" s="273">
        <v>133</v>
      </c>
      <c r="S136" s="273">
        <v>37.55</v>
      </c>
      <c r="T136" s="273">
        <v>1037.7097203728363</v>
      </c>
      <c r="U136" s="273">
        <v>0</v>
      </c>
      <c r="V136" s="273">
        <v>0</v>
      </c>
      <c r="W136" s="273">
        <v>19018</v>
      </c>
      <c r="X136" s="273">
        <v>34</v>
      </c>
      <c r="Y136" s="273">
        <v>187</v>
      </c>
      <c r="Z136" s="273">
        <v>1.0383493732237554</v>
      </c>
      <c r="AA136" s="273">
        <v>66</v>
      </c>
      <c r="AB136" s="273">
        <v>66</v>
      </c>
      <c r="AC136" s="273">
        <v>1.0957923922808575</v>
      </c>
      <c r="AD136" s="273">
        <v>1017</v>
      </c>
      <c r="AE136" s="273">
        <v>222</v>
      </c>
      <c r="AF136" s="273">
        <v>73</v>
      </c>
      <c r="AG136" s="273">
        <v>6</v>
      </c>
      <c r="AH136" s="273">
        <v>1318</v>
      </c>
      <c r="AI136" s="273">
        <v>0.6725383921395529</v>
      </c>
      <c r="AJ136" s="273">
        <v>20691</v>
      </c>
      <c r="AK136" s="273">
        <v>1418</v>
      </c>
      <c r="AL136" s="273">
        <v>0.7250885559001543</v>
      </c>
      <c r="AM136" s="273">
        <v>0.824011696307804</v>
      </c>
      <c r="AN136" s="273">
        <v>0</v>
      </c>
      <c r="AO136" s="273">
        <v>0</v>
      </c>
      <c r="AP136" s="273">
        <f t="shared" si="0"/>
        <v>0</v>
      </c>
      <c r="AQ136" s="273">
        <v>6565.417614400387</v>
      </c>
      <c r="AR136" s="273">
        <v>-9590875.1124081</v>
      </c>
      <c r="AS136" s="273">
        <v>1</v>
      </c>
      <c r="AT136" s="273">
        <v>38966</v>
      </c>
      <c r="AU136" s="273">
        <v>0</v>
      </c>
      <c r="AV136" s="273">
        <v>0</v>
      </c>
      <c r="AW136" s="273">
        <v>0</v>
      </c>
      <c r="AX136" s="273">
        <v>0</v>
      </c>
      <c r="AY136" s="273">
        <v>37.55</v>
      </c>
      <c r="AZ136" s="273">
        <v>1037.7097203728363</v>
      </c>
      <c r="BA136" s="273">
        <v>38268</v>
      </c>
      <c r="BB136" s="273">
        <v>0.9820869475953395</v>
      </c>
      <c r="BC136" s="273">
        <v>0</v>
      </c>
      <c r="BD136" s="273">
        <v>0</v>
      </c>
      <c r="BE136" s="273">
        <v>38288</v>
      </c>
      <c r="BF136" s="273">
        <v>38966</v>
      </c>
      <c r="BG136" s="273">
        <v>0.01770789803593815</v>
      </c>
      <c r="BH136" s="273">
        <v>0</v>
      </c>
      <c r="BI136" s="273">
        <v>0</v>
      </c>
      <c r="BJ136" s="273">
        <v>0</v>
      </c>
      <c r="BK136" s="273">
        <v>4312689.5699603055</v>
      </c>
      <c r="BL136" s="273">
        <v>5894.07</v>
      </c>
    </row>
    <row r="137" spans="6:64" s="273" customFormat="1" ht="12.75">
      <c r="F137" s="273">
        <v>202</v>
      </c>
      <c r="G137" s="273" t="s">
        <v>73</v>
      </c>
      <c r="H137" s="273">
        <v>2854</v>
      </c>
      <c r="I137" s="273">
        <v>404</v>
      </c>
      <c r="J137" s="273">
        <v>2418</v>
      </c>
      <c r="K137" s="273">
        <v>1216</v>
      </c>
      <c r="L137" s="273">
        <v>23149</v>
      </c>
      <c r="M137" s="273">
        <v>3039</v>
      </c>
      <c r="N137" s="273">
        <v>1571</v>
      </c>
      <c r="O137" s="273">
        <v>468</v>
      </c>
      <c r="P137" s="273">
        <v>31081</v>
      </c>
      <c r="Q137" s="273">
        <v>163</v>
      </c>
      <c r="R137" s="273">
        <v>112</v>
      </c>
      <c r="S137" s="273">
        <v>150.34</v>
      </c>
      <c r="T137" s="273">
        <v>206.73806039643475</v>
      </c>
      <c r="U137" s="273">
        <v>1</v>
      </c>
      <c r="V137" s="273">
        <v>0</v>
      </c>
      <c r="W137" s="273">
        <v>14130</v>
      </c>
      <c r="X137" s="273">
        <v>138</v>
      </c>
      <c r="Y137" s="273">
        <v>151</v>
      </c>
      <c r="Z137" s="273">
        <v>1.0290704642458914</v>
      </c>
      <c r="AA137" s="273">
        <v>36</v>
      </c>
      <c r="AB137" s="273">
        <v>36</v>
      </c>
      <c r="AC137" s="273">
        <v>0.7493378829676574</v>
      </c>
      <c r="AD137" s="273">
        <v>925</v>
      </c>
      <c r="AE137" s="273">
        <v>271</v>
      </c>
      <c r="AF137" s="273">
        <v>62</v>
      </c>
      <c r="AG137" s="273">
        <v>8</v>
      </c>
      <c r="AH137" s="273">
        <v>1266</v>
      </c>
      <c r="AI137" s="273">
        <v>0.8098903411304671</v>
      </c>
      <c r="AJ137" s="273">
        <v>15295</v>
      </c>
      <c r="AK137" s="273">
        <v>926</v>
      </c>
      <c r="AL137" s="273">
        <v>0.640557035987611</v>
      </c>
      <c r="AM137" s="273">
        <v>0.807189777011621</v>
      </c>
      <c r="AN137" s="273">
        <v>0</v>
      </c>
      <c r="AO137" s="273">
        <v>0</v>
      </c>
      <c r="AP137" s="273">
        <f t="shared" si="0"/>
        <v>0</v>
      </c>
      <c r="AQ137" s="273">
        <v>-589213.1656560749</v>
      </c>
      <c r="AR137" s="273">
        <v>-6139996.514698002</v>
      </c>
      <c r="AS137" s="273">
        <v>1</v>
      </c>
      <c r="AT137" s="273">
        <v>31081</v>
      </c>
      <c r="AU137" s="273">
        <v>1</v>
      </c>
      <c r="AV137" s="273">
        <v>238</v>
      </c>
      <c r="AW137" s="273">
        <v>0.00765741128020334</v>
      </c>
      <c r="AX137" s="273">
        <v>0</v>
      </c>
      <c r="AY137" s="273">
        <v>150.34</v>
      </c>
      <c r="AZ137" s="273">
        <v>206.73806039643475</v>
      </c>
      <c r="BA137" s="273">
        <v>29157</v>
      </c>
      <c r="BB137" s="273">
        <v>0.9380972298188603</v>
      </c>
      <c r="BC137" s="273">
        <v>0</v>
      </c>
      <c r="BD137" s="273">
        <v>0</v>
      </c>
      <c r="BE137" s="273">
        <v>30347</v>
      </c>
      <c r="BF137" s="273">
        <v>31081</v>
      </c>
      <c r="BG137" s="273">
        <v>0.024186904801133554</v>
      </c>
      <c r="BH137" s="273">
        <v>0</v>
      </c>
      <c r="BI137" s="273">
        <v>0</v>
      </c>
      <c r="BJ137" s="273">
        <v>0</v>
      </c>
      <c r="BK137" s="273">
        <v>3366120.7701432216</v>
      </c>
      <c r="BL137" s="273">
        <v>5918.05</v>
      </c>
    </row>
    <row r="138" spans="6:64" s="273" customFormat="1" ht="12.75">
      <c r="F138" s="273">
        <v>204</v>
      </c>
      <c r="G138" s="273" t="s">
        <v>74</v>
      </c>
      <c r="H138" s="273">
        <v>190</v>
      </c>
      <c r="I138" s="273">
        <v>34</v>
      </c>
      <c r="J138" s="273">
        <v>204</v>
      </c>
      <c r="K138" s="273">
        <v>124</v>
      </c>
      <c r="L138" s="273">
        <v>2247</v>
      </c>
      <c r="M138" s="273">
        <v>497</v>
      </c>
      <c r="N138" s="273">
        <v>319</v>
      </c>
      <c r="O138" s="273">
        <v>132</v>
      </c>
      <c r="P138" s="273">
        <v>3385</v>
      </c>
      <c r="Q138" s="273">
        <v>0</v>
      </c>
      <c r="R138" s="273">
        <v>1</v>
      </c>
      <c r="S138" s="273">
        <v>674.08</v>
      </c>
      <c r="T138" s="273">
        <v>5.021659150249229</v>
      </c>
      <c r="U138" s="273">
        <v>0</v>
      </c>
      <c r="V138" s="273">
        <v>0</v>
      </c>
      <c r="W138" s="273">
        <v>1037</v>
      </c>
      <c r="X138" s="273">
        <v>144</v>
      </c>
      <c r="Y138" s="273">
        <v>24</v>
      </c>
      <c r="Z138" s="273">
        <v>0.8803610643152546</v>
      </c>
      <c r="AA138" s="273">
        <v>15</v>
      </c>
      <c r="AB138" s="273">
        <v>15</v>
      </c>
      <c r="AC138" s="273">
        <v>2.8668353939583655</v>
      </c>
      <c r="AD138" s="273">
        <v>278</v>
      </c>
      <c r="AE138" s="273">
        <v>15</v>
      </c>
      <c r="AF138" s="273">
        <v>1</v>
      </c>
      <c r="AG138" s="273">
        <v>2</v>
      </c>
      <c r="AH138" s="273">
        <v>296</v>
      </c>
      <c r="AI138" s="273">
        <v>1.7386835101033766</v>
      </c>
      <c r="AJ138" s="273">
        <v>1267</v>
      </c>
      <c r="AK138" s="273">
        <v>158</v>
      </c>
      <c r="AL138" s="273">
        <v>1.319400889789166</v>
      </c>
      <c r="AM138" s="273">
        <v>2.5270044379119</v>
      </c>
      <c r="AN138" s="273">
        <v>0</v>
      </c>
      <c r="AO138" s="273">
        <v>0</v>
      </c>
      <c r="AP138" s="273">
        <f aca="true" t="shared" si="1" ref="AP138:AP201">MAX(AN138,AO138)</f>
        <v>0</v>
      </c>
      <c r="AQ138" s="273">
        <v>-95514.19307007454</v>
      </c>
      <c r="AR138" s="273">
        <v>3198809.2463349984</v>
      </c>
      <c r="AS138" s="273">
        <v>0</v>
      </c>
      <c r="AT138" s="273">
        <v>3385</v>
      </c>
      <c r="AU138" s="273">
        <v>0</v>
      </c>
      <c r="AV138" s="273">
        <v>0</v>
      </c>
      <c r="AW138" s="273">
        <v>0</v>
      </c>
      <c r="AX138" s="273">
        <v>0.19826666666666667</v>
      </c>
      <c r="AY138" s="273">
        <v>674.08</v>
      </c>
      <c r="AZ138" s="273">
        <v>5.021659150249229</v>
      </c>
      <c r="BA138" s="273">
        <v>1401</v>
      </c>
      <c r="BB138" s="273">
        <v>0.4138847858197932</v>
      </c>
      <c r="BC138" s="273">
        <v>0</v>
      </c>
      <c r="BD138" s="273">
        <v>0</v>
      </c>
      <c r="BE138" s="273">
        <v>3457</v>
      </c>
      <c r="BF138" s="273">
        <v>3385</v>
      </c>
      <c r="BG138" s="273">
        <v>-0.02082730691350882</v>
      </c>
      <c r="BH138" s="273">
        <v>0</v>
      </c>
      <c r="BI138" s="273">
        <v>0</v>
      </c>
      <c r="BJ138" s="273">
        <v>0</v>
      </c>
      <c r="BK138" s="273">
        <v>641828.0239465839</v>
      </c>
      <c r="BL138" s="273">
        <v>7250.6</v>
      </c>
    </row>
    <row r="139" spans="6:64" s="273" customFormat="1" ht="12.75">
      <c r="F139" s="273">
        <v>205</v>
      </c>
      <c r="G139" s="273" t="s">
        <v>75</v>
      </c>
      <c r="H139" s="273">
        <v>3065</v>
      </c>
      <c r="I139" s="273">
        <v>421</v>
      </c>
      <c r="J139" s="273">
        <v>2349</v>
      </c>
      <c r="K139" s="273">
        <v>1297</v>
      </c>
      <c r="L139" s="273">
        <v>28094</v>
      </c>
      <c r="M139" s="273">
        <v>3674</v>
      </c>
      <c r="N139" s="273">
        <v>2435</v>
      </c>
      <c r="O139" s="273">
        <v>777</v>
      </c>
      <c r="P139" s="273">
        <v>38045</v>
      </c>
      <c r="Q139" s="273">
        <v>1</v>
      </c>
      <c r="R139" s="273">
        <v>160</v>
      </c>
      <c r="S139" s="273">
        <v>1835.09</v>
      </c>
      <c r="T139" s="273">
        <v>20.731953201205393</v>
      </c>
      <c r="U139" s="273">
        <v>0</v>
      </c>
      <c r="V139" s="273">
        <v>0</v>
      </c>
      <c r="W139" s="273">
        <v>14929</v>
      </c>
      <c r="X139" s="273">
        <v>341</v>
      </c>
      <c r="Y139" s="273">
        <v>111</v>
      </c>
      <c r="Z139" s="273">
        <v>1.0187500969746515</v>
      </c>
      <c r="AA139" s="273">
        <v>65</v>
      </c>
      <c r="AB139" s="273">
        <v>65</v>
      </c>
      <c r="AC139" s="273">
        <v>1.1053146844625914</v>
      </c>
      <c r="AD139" s="273">
        <v>1883</v>
      </c>
      <c r="AE139" s="273">
        <v>360</v>
      </c>
      <c r="AF139" s="273">
        <v>85</v>
      </c>
      <c r="AG139" s="273">
        <v>0</v>
      </c>
      <c r="AH139" s="273">
        <v>2328</v>
      </c>
      <c r="AI139" s="273">
        <v>1.216670238568608</v>
      </c>
      <c r="AJ139" s="273">
        <v>17655</v>
      </c>
      <c r="AK139" s="273">
        <v>2225</v>
      </c>
      <c r="AL139" s="273">
        <v>1.3333942990949577</v>
      </c>
      <c r="AM139" s="273">
        <v>1.20799560778113</v>
      </c>
      <c r="AN139" s="273">
        <v>0</v>
      </c>
      <c r="AO139" s="273">
        <v>0</v>
      </c>
      <c r="AP139" s="273">
        <f t="shared" si="1"/>
        <v>0</v>
      </c>
      <c r="AQ139" s="273">
        <v>-536331.1401641965</v>
      </c>
      <c r="AR139" s="273">
        <v>7334044.434664979</v>
      </c>
      <c r="AS139" s="273">
        <v>1</v>
      </c>
      <c r="AT139" s="273">
        <v>38045</v>
      </c>
      <c r="AU139" s="273">
        <v>0</v>
      </c>
      <c r="AV139" s="273">
        <v>0</v>
      </c>
      <c r="AW139" s="273">
        <v>0</v>
      </c>
      <c r="AX139" s="273">
        <v>0.08561666666666666</v>
      </c>
      <c r="AY139" s="273">
        <v>1835.09</v>
      </c>
      <c r="AZ139" s="273">
        <v>20.731953201205393</v>
      </c>
      <c r="BA139" s="273">
        <v>33262</v>
      </c>
      <c r="BB139" s="273">
        <v>0.8742804573531344</v>
      </c>
      <c r="BC139" s="273">
        <v>0</v>
      </c>
      <c r="BD139" s="273">
        <v>0</v>
      </c>
      <c r="BE139" s="273">
        <v>38132</v>
      </c>
      <c r="BF139" s="273">
        <v>38045</v>
      </c>
      <c r="BG139" s="273">
        <v>-0.002281548305884821</v>
      </c>
      <c r="BH139" s="273">
        <v>0</v>
      </c>
      <c r="BI139" s="273">
        <v>2</v>
      </c>
      <c r="BJ139" s="273">
        <v>5.2569325798396634E-05</v>
      </c>
      <c r="BK139" s="273">
        <v>6752578.069644926</v>
      </c>
      <c r="BL139" s="273">
        <v>6347.8</v>
      </c>
    </row>
    <row r="140" spans="6:64" s="273" customFormat="1" ht="12.75">
      <c r="F140" s="273">
        <v>208</v>
      </c>
      <c r="G140" s="273" t="s">
        <v>76</v>
      </c>
      <c r="H140" s="273">
        <v>1151</v>
      </c>
      <c r="I140" s="273">
        <v>175</v>
      </c>
      <c r="J140" s="273">
        <v>956</v>
      </c>
      <c r="K140" s="273">
        <v>473</v>
      </c>
      <c r="L140" s="273">
        <v>8990</v>
      </c>
      <c r="M140" s="273">
        <v>1303</v>
      </c>
      <c r="N140" s="273">
        <v>842</v>
      </c>
      <c r="O140" s="273">
        <v>330</v>
      </c>
      <c r="P140" s="273">
        <v>12616</v>
      </c>
      <c r="Q140" s="273">
        <v>1</v>
      </c>
      <c r="R140" s="273">
        <v>20</v>
      </c>
      <c r="S140" s="273">
        <v>922.16</v>
      </c>
      <c r="T140" s="273">
        <v>13.680923050229895</v>
      </c>
      <c r="U140" s="273">
        <v>0</v>
      </c>
      <c r="V140" s="273">
        <v>0</v>
      </c>
      <c r="W140" s="273">
        <v>4861</v>
      </c>
      <c r="X140" s="273">
        <v>768</v>
      </c>
      <c r="Y140" s="273">
        <v>76</v>
      </c>
      <c r="Z140" s="273">
        <v>0.8681524943445008</v>
      </c>
      <c r="AA140" s="273">
        <v>15</v>
      </c>
      <c r="AB140" s="273">
        <v>15</v>
      </c>
      <c r="AC140" s="273">
        <v>0.7692008408805537</v>
      </c>
      <c r="AD140" s="273">
        <v>657</v>
      </c>
      <c r="AE140" s="273">
        <v>100</v>
      </c>
      <c r="AF140" s="273">
        <v>29</v>
      </c>
      <c r="AG140" s="273">
        <v>1</v>
      </c>
      <c r="AH140" s="273">
        <v>787</v>
      </c>
      <c r="AI140" s="273">
        <v>1.2403394278120246</v>
      </c>
      <c r="AJ140" s="273">
        <v>5615</v>
      </c>
      <c r="AK140" s="273">
        <v>451</v>
      </c>
      <c r="AL140" s="273">
        <v>0.8498124353175331</v>
      </c>
      <c r="AM140" s="273">
        <v>0.918247468698656</v>
      </c>
      <c r="AN140" s="273">
        <v>0</v>
      </c>
      <c r="AO140" s="273">
        <v>0</v>
      </c>
      <c r="AP140" s="273">
        <f t="shared" si="1"/>
        <v>0</v>
      </c>
      <c r="AQ140" s="273">
        <v>174079.73907664046</v>
      </c>
      <c r="AR140" s="273">
        <v>6686442.202768425</v>
      </c>
      <c r="AS140" s="273">
        <v>1</v>
      </c>
      <c r="AT140" s="273">
        <v>12616</v>
      </c>
      <c r="AU140" s="273">
        <v>0</v>
      </c>
      <c r="AV140" s="273">
        <v>0</v>
      </c>
      <c r="AW140" s="273">
        <v>0</v>
      </c>
      <c r="AX140" s="273">
        <v>0</v>
      </c>
      <c r="AY140" s="273">
        <v>922.16</v>
      </c>
      <c r="AZ140" s="273">
        <v>13.680923050229895</v>
      </c>
      <c r="BA140" s="273">
        <v>9244</v>
      </c>
      <c r="BB140" s="273">
        <v>0.7327203551046291</v>
      </c>
      <c r="BC140" s="273">
        <v>0</v>
      </c>
      <c r="BD140" s="273">
        <v>0</v>
      </c>
      <c r="BE140" s="273">
        <v>12535</v>
      </c>
      <c r="BF140" s="273">
        <v>12616</v>
      </c>
      <c r="BG140" s="273">
        <v>0.006461906661348225</v>
      </c>
      <c r="BH140" s="273">
        <v>0</v>
      </c>
      <c r="BI140" s="273">
        <v>2</v>
      </c>
      <c r="BJ140" s="273">
        <v>0.0001585288522511097</v>
      </c>
      <c r="BK140" s="273">
        <v>2434850.631002216</v>
      </c>
      <c r="BL140" s="273">
        <v>6593.98</v>
      </c>
    </row>
    <row r="141" spans="6:64" s="273" customFormat="1" ht="12.75">
      <c r="F141" s="273">
        <v>211</v>
      </c>
      <c r="G141" s="273" t="s">
        <v>77</v>
      </c>
      <c r="H141" s="273">
        <v>2978</v>
      </c>
      <c r="I141" s="273">
        <v>441</v>
      </c>
      <c r="J141" s="273">
        <v>2398</v>
      </c>
      <c r="K141" s="273">
        <v>1120</v>
      </c>
      <c r="L141" s="273">
        <v>22020</v>
      </c>
      <c r="M141" s="273">
        <v>2838</v>
      </c>
      <c r="N141" s="273">
        <v>1560</v>
      </c>
      <c r="O141" s="273">
        <v>495</v>
      </c>
      <c r="P141" s="273">
        <v>29891</v>
      </c>
      <c r="Q141" s="273">
        <v>12</v>
      </c>
      <c r="R141" s="273">
        <v>50</v>
      </c>
      <c r="S141" s="273">
        <v>658.02</v>
      </c>
      <c r="T141" s="273">
        <v>45.42567095225069</v>
      </c>
      <c r="U141" s="273">
        <v>0</v>
      </c>
      <c r="V141" s="273">
        <v>0</v>
      </c>
      <c r="W141" s="273">
        <v>12971</v>
      </c>
      <c r="X141" s="273">
        <v>390</v>
      </c>
      <c r="Y141" s="273">
        <v>134</v>
      </c>
      <c r="Z141" s="273">
        <v>1.0081172288230704</v>
      </c>
      <c r="AA141" s="273">
        <v>23</v>
      </c>
      <c r="AB141" s="273">
        <v>23</v>
      </c>
      <c r="AC141" s="273">
        <v>0.49780306133759</v>
      </c>
      <c r="AD141" s="273">
        <v>1184</v>
      </c>
      <c r="AE141" s="273">
        <v>256</v>
      </c>
      <c r="AF141" s="273">
        <v>66</v>
      </c>
      <c r="AG141" s="273">
        <v>27</v>
      </c>
      <c r="AH141" s="273">
        <v>1533</v>
      </c>
      <c r="AI141" s="273">
        <v>1.0197394185411943</v>
      </c>
      <c r="AJ141" s="273">
        <v>14434</v>
      </c>
      <c r="AK141" s="273">
        <v>1129</v>
      </c>
      <c r="AL141" s="273">
        <v>0.8275677185340713</v>
      </c>
      <c r="AM141" s="273">
        <v>0.767316534667322</v>
      </c>
      <c r="AN141" s="273">
        <v>0</v>
      </c>
      <c r="AO141" s="273">
        <v>0</v>
      </c>
      <c r="AP141" s="273">
        <f t="shared" si="1"/>
        <v>0</v>
      </c>
      <c r="AQ141" s="273">
        <v>-235774.60303405012</v>
      </c>
      <c r="AR141" s="273">
        <v>-1932233.4597041542</v>
      </c>
      <c r="AS141" s="273">
        <v>1</v>
      </c>
      <c r="AT141" s="273">
        <v>29891</v>
      </c>
      <c r="AU141" s="273">
        <v>0</v>
      </c>
      <c r="AV141" s="273">
        <v>0</v>
      </c>
      <c r="AW141" s="273">
        <v>0</v>
      </c>
      <c r="AX141" s="273">
        <v>0</v>
      </c>
      <c r="AY141" s="273">
        <v>658.02</v>
      </c>
      <c r="AZ141" s="273">
        <v>45.42567095225069</v>
      </c>
      <c r="BA141" s="273">
        <v>24966</v>
      </c>
      <c r="BB141" s="273">
        <v>0.8352346860258941</v>
      </c>
      <c r="BC141" s="273">
        <v>0</v>
      </c>
      <c r="BD141" s="273">
        <v>0</v>
      </c>
      <c r="BE141" s="273">
        <v>29282</v>
      </c>
      <c r="BF141" s="273">
        <v>29891</v>
      </c>
      <c r="BG141" s="273">
        <v>0.020797759715866403</v>
      </c>
      <c r="BH141" s="273">
        <v>0</v>
      </c>
      <c r="BI141" s="273">
        <v>1</v>
      </c>
      <c r="BJ141" s="273">
        <v>3.345488608611288E-05</v>
      </c>
      <c r="BK141" s="273">
        <v>4284908.333575823</v>
      </c>
      <c r="BL141" s="273">
        <v>5863.47</v>
      </c>
    </row>
    <row r="142" spans="6:64" s="273" customFormat="1" ht="12.75">
      <c r="F142" s="273">
        <v>213</v>
      </c>
      <c r="G142" s="273" t="s">
        <v>78</v>
      </c>
      <c r="H142" s="273">
        <v>321</v>
      </c>
      <c r="I142" s="273">
        <v>48</v>
      </c>
      <c r="J142" s="273">
        <v>285</v>
      </c>
      <c r="K142" s="273">
        <v>173</v>
      </c>
      <c r="L142" s="273">
        <v>3834</v>
      </c>
      <c r="M142" s="273">
        <v>872</v>
      </c>
      <c r="N142" s="273">
        <v>615</v>
      </c>
      <c r="O142" s="273">
        <v>223</v>
      </c>
      <c r="P142" s="273">
        <v>5865</v>
      </c>
      <c r="Q142" s="273">
        <v>0</v>
      </c>
      <c r="R142" s="273">
        <v>3</v>
      </c>
      <c r="S142" s="273">
        <v>1068.96</v>
      </c>
      <c r="T142" s="273">
        <v>5.486641221374046</v>
      </c>
      <c r="U142" s="273">
        <v>0</v>
      </c>
      <c r="V142" s="273">
        <v>0</v>
      </c>
      <c r="W142" s="273">
        <v>2094</v>
      </c>
      <c r="X142" s="273">
        <v>348</v>
      </c>
      <c r="Y142" s="273">
        <v>51</v>
      </c>
      <c r="Z142" s="273">
        <v>0.850379597448619</v>
      </c>
      <c r="AA142" s="273">
        <v>15</v>
      </c>
      <c r="AB142" s="273">
        <v>15</v>
      </c>
      <c r="AC142" s="273">
        <v>1.6546015018838989</v>
      </c>
      <c r="AD142" s="273">
        <v>441</v>
      </c>
      <c r="AE142" s="273">
        <v>31</v>
      </c>
      <c r="AF142" s="273">
        <v>6</v>
      </c>
      <c r="AG142" s="273">
        <v>10</v>
      </c>
      <c r="AH142" s="273">
        <v>488</v>
      </c>
      <c r="AI142" s="273">
        <v>1.6543953576355186</v>
      </c>
      <c r="AJ142" s="273">
        <v>2431</v>
      </c>
      <c r="AK142" s="273">
        <v>246</v>
      </c>
      <c r="AL142" s="273">
        <v>1.0706473559645373</v>
      </c>
      <c r="AM142" s="273">
        <v>1.45326627349611</v>
      </c>
      <c r="AN142" s="273">
        <v>0.05</v>
      </c>
      <c r="AO142" s="273">
        <v>0</v>
      </c>
      <c r="AP142" s="273">
        <f t="shared" si="1"/>
        <v>0.05</v>
      </c>
      <c r="AQ142" s="273">
        <v>104150.07537831739</v>
      </c>
      <c r="AR142" s="273">
        <v>4257344.381492308</v>
      </c>
      <c r="AS142" s="273">
        <v>1</v>
      </c>
      <c r="AT142" s="273">
        <v>5865</v>
      </c>
      <c r="AU142" s="273">
        <v>0</v>
      </c>
      <c r="AV142" s="273">
        <v>0</v>
      </c>
      <c r="AW142" s="273">
        <v>0</v>
      </c>
      <c r="AX142" s="273">
        <v>0.5264666666666666</v>
      </c>
      <c r="AY142" s="273">
        <v>1068.96</v>
      </c>
      <c r="AZ142" s="273">
        <v>5.486641221374046</v>
      </c>
      <c r="BA142" s="273">
        <v>2919</v>
      </c>
      <c r="BB142" s="273">
        <v>0.49769820971867007</v>
      </c>
      <c r="BC142" s="273">
        <v>0</v>
      </c>
      <c r="BD142" s="273">
        <v>0</v>
      </c>
      <c r="BE142" s="273">
        <v>6091</v>
      </c>
      <c r="BF142" s="273">
        <v>5865</v>
      </c>
      <c r="BG142" s="273">
        <v>-0.03710392382203251</v>
      </c>
      <c r="BH142" s="273">
        <v>0</v>
      </c>
      <c r="BI142" s="273">
        <v>1</v>
      </c>
      <c r="BJ142" s="273">
        <v>0.00017050298380221653</v>
      </c>
      <c r="BK142" s="273">
        <v>1420936.9981555657</v>
      </c>
      <c r="BL142" s="273">
        <v>7195.54</v>
      </c>
    </row>
    <row r="143" spans="6:64" s="273" customFormat="1" ht="12.75">
      <c r="F143" s="273">
        <v>214</v>
      </c>
      <c r="G143" s="273" t="s">
        <v>79</v>
      </c>
      <c r="H143" s="273">
        <v>826</v>
      </c>
      <c r="I143" s="273">
        <v>111</v>
      </c>
      <c r="J143" s="273">
        <v>763</v>
      </c>
      <c r="K143" s="273">
        <v>398</v>
      </c>
      <c r="L143" s="273">
        <v>8813</v>
      </c>
      <c r="M143" s="273">
        <v>1316</v>
      </c>
      <c r="N143" s="273">
        <v>838</v>
      </c>
      <c r="O143" s="273">
        <v>285</v>
      </c>
      <c r="P143" s="273">
        <v>12078</v>
      </c>
      <c r="Q143" s="273">
        <v>1</v>
      </c>
      <c r="R143" s="273">
        <v>16</v>
      </c>
      <c r="S143" s="273">
        <v>689.18</v>
      </c>
      <c r="T143" s="273">
        <v>17.52517484546853</v>
      </c>
      <c r="U143" s="273">
        <v>0</v>
      </c>
      <c r="V143" s="273">
        <v>0</v>
      </c>
      <c r="W143" s="273">
        <v>4931</v>
      </c>
      <c r="X143" s="273">
        <v>292</v>
      </c>
      <c r="Y143" s="273">
        <v>84</v>
      </c>
      <c r="Z143" s="273">
        <v>0.9704500472295249</v>
      </c>
      <c r="AA143" s="273">
        <v>19</v>
      </c>
      <c r="AB143" s="273">
        <v>19</v>
      </c>
      <c r="AC143" s="273">
        <v>1.0177210264526813</v>
      </c>
      <c r="AD143" s="273">
        <v>667</v>
      </c>
      <c r="AE143" s="273">
        <v>63</v>
      </c>
      <c r="AF143" s="273">
        <v>25</v>
      </c>
      <c r="AG143" s="273">
        <v>0</v>
      </c>
      <c r="AH143" s="273">
        <v>755</v>
      </c>
      <c r="AI143" s="273">
        <v>1.2429092597674372</v>
      </c>
      <c r="AJ143" s="273">
        <v>5764</v>
      </c>
      <c r="AK143" s="273">
        <v>553</v>
      </c>
      <c r="AL143" s="273">
        <v>1.0150734291759294</v>
      </c>
      <c r="AM143" s="273">
        <v>1.01930071706319</v>
      </c>
      <c r="AN143" s="273">
        <v>0</v>
      </c>
      <c r="AO143" s="273">
        <v>0</v>
      </c>
      <c r="AP143" s="273">
        <f t="shared" si="1"/>
        <v>0</v>
      </c>
      <c r="AQ143" s="273">
        <v>366490.2791329548</v>
      </c>
      <c r="AR143" s="273">
        <v>5161657.236704995</v>
      </c>
      <c r="AS143" s="273">
        <v>1</v>
      </c>
      <c r="AT143" s="273">
        <v>12078</v>
      </c>
      <c r="AU143" s="273">
        <v>0</v>
      </c>
      <c r="AV143" s="273">
        <v>0</v>
      </c>
      <c r="AW143" s="273">
        <v>0</v>
      </c>
      <c r="AX143" s="273">
        <v>0</v>
      </c>
      <c r="AY143" s="273">
        <v>689.18</v>
      </c>
      <c r="AZ143" s="273">
        <v>17.52517484546853</v>
      </c>
      <c r="BA143" s="273">
        <v>8543</v>
      </c>
      <c r="BB143" s="273">
        <v>0.7073190925649943</v>
      </c>
      <c r="BC143" s="273">
        <v>0</v>
      </c>
      <c r="BD143" s="273">
        <v>0</v>
      </c>
      <c r="BE143" s="273">
        <v>12314</v>
      </c>
      <c r="BF143" s="273">
        <v>12078</v>
      </c>
      <c r="BG143" s="273">
        <v>-0.019165177846353743</v>
      </c>
      <c r="BH143" s="273">
        <v>0</v>
      </c>
      <c r="BI143" s="273">
        <v>0</v>
      </c>
      <c r="BJ143" s="273">
        <v>0</v>
      </c>
      <c r="BK143" s="273">
        <v>2687977.8064206787</v>
      </c>
      <c r="BL143" s="273">
        <v>6426.65</v>
      </c>
    </row>
    <row r="144" spans="6:64" s="273" customFormat="1" ht="12.75">
      <c r="F144" s="273">
        <v>216</v>
      </c>
      <c r="G144" s="273" t="s">
        <v>80</v>
      </c>
      <c r="H144" s="273">
        <v>95</v>
      </c>
      <c r="I144" s="273">
        <v>16</v>
      </c>
      <c r="J144" s="273">
        <v>98</v>
      </c>
      <c r="K144" s="273">
        <v>49</v>
      </c>
      <c r="L144" s="273">
        <v>1007</v>
      </c>
      <c r="M144" s="273">
        <v>195</v>
      </c>
      <c r="N144" s="273">
        <v>175</v>
      </c>
      <c r="O144" s="273">
        <v>72</v>
      </c>
      <c r="P144" s="273">
        <v>1544</v>
      </c>
      <c r="Q144" s="273">
        <v>0</v>
      </c>
      <c r="R144" s="273">
        <v>0</v>
      </c>
      <c r="S144" s="273">
        <v>444.75</v>
      </c>
      <c r="T144" s="273">
        <v>3.4716132658797076</v>
      </c>
      <c r="U144" s="273">
        <v>0</v>
      </c>
      <c r="V144" s="273">
        <v>0</v>
      </c>
      <c r="W144" s="273">
        <v>522</v>
      </c>
      <c r="X144" s="273">
        <v>94</v>
      </c>
      <c r="Y144" s="273">
        <v>7</v>
      </c>
      <c r="Z144" s="273">
        <v>0.8472886710306049</v>
      </c>
      <c r="AA144" s="273">
        <v>2</v>
      </c>
      <c r="AB144" s="273">
        <v>2</v>
      </c>
      <c r="AC144" s="273">
        <v>0.8380170819127001</v>
      </c>
      <c r="AD144" s="273">
        <v>130</v>
      </c>
      <c r="AE144" s="273">
        <v>9</v>
      </c>
      <c r="AF144" s="273">
        <v>5</v>
      </c>
      <c r="AG144" s="273">
        <v>2</v>
      </c>
      <c r="AH144" s="273">
        <v>146</v>
      </c>
      <c r="AI144" s="273">
        <v>1.8801524154709375</v>
      </c>
      <c r="AJ144" s="273">
        <v>610</v>
      </c>
      <c r="AK144" s="273">
        <v>75</v>
      </c>
      <c r="AL144" s="273">
        <v>1.3008515205666684</v>
      </c>
      <c r="AM144" s="273">
        <v>1.83796463803986</v>
      </c>
      <c r="AN144" s="273">
        <v>0.05</v>
      </c>
      <c r="AO144" s="273">
        <v>0</v>
      </c>
      <c r="AP144" s="273">
        <f t="shared" si="1"/>
        <v>0.05</v>
      </c>
      <c r="AQ144" s="273">
        <v>53822.27823724039</v>
      </c>
      <c r="AR144" s="273">
        <v>1385906.0303999993</v>
      </c>
      <c r="AS144" s="273">
        <v>1</v>
      </c>
      <c r="AT144" s="273">
        <v>1544</v>
      </c>
      <c r="AU144" s="273">
        <v>0</v>
      </c>
      <c r="AV144" s="273">
        <v>0</v>
      </c>
      <c r="AW144" s="273">
        <v>0</v>
      </c>
      <c r="AX144" s="273">
        <v>0.8616333333333334</v>
      </c>
      <c r="AY144" s="273">
        <v>444.75</v>
      </c>
      <c r="AZ144" s="273">
        <v>3.4716132658797076</v>
      </c>
      <c r="BA144" s="273">
        <v>572</v>
      </c>
      <c r="BB144" s="273">
        <v>0.3704663212435233</v>
      </c>
      <c r="BC144" s="273">
        <v>0</v>
      </c>
      <c r="BD144" s="273">
        <v>0</v>
      </c>
      <c r="BE144" s="273">
        <v>1609</v>
      </c>
      <c r="BF144" s="273">
        <v>1544</v>
      </c>
      <c r="BG144" s="273">
        <v>-0.040397762585456805</v>
      </c>
      <c r="BH144" s="273">
        <v>0</v>
      </c>
      <c r="BI144" s="273">
        <v>0</v>
      </c>
      <c r="BJ144" s="273">
        <v>0</v>
      </c>
      <c r="BK144" s="273">
        <v>345483.0522015843</v>
      </c>
      <c r="BL144" s="273">
        <v>7658.27</v>
      </c>
    </row>
    <row r="145" spans="6:64" s="273" customFormat="1" ht="12.75">
      <c r="F145" s="273">
        <v>217</v>
      </c>
      <c r="G145" s="273" t="s">
        <v>81</v>
      </c>
      <c r="H145" s="273">
        <v>469</v>
      </c>
      <c r="I145" s="273">
        <v>84</v>
      </c>
      <c r="J145" s="273">
        <v>449</v>
      </c>
      <c r="K145" s="273">
        <v>242</v>
      </c>
      <c r="L145" s="273">
        <v>4201</v>
      </c>
      <c r="M145" s="273">
        <v>520</v>
      </c>
      <c r="N145" s="273">
        <v>348</v>
      </c>
      <c r="O145" s="273">
        <v>159</v>
      </c>
      <c r="P145" s="273">
        <v>5697</v>
      </c>
      <c r="Q145" s="273">
        <v>1</v>
      </c>
      <c r="R145" s="273">
        <v>4</v>
      </c>
      <c r="S145" s="273">
        <v>468.24</v>
      </c>
      <c r="T145" s="273">
        <v>12.166837519220913</v>
      </c>
      <c r="U145" s="273">
        <v>0</v>
      </c>
      <c r="V145" s="273">
        <v>0</v>
      </c>
      <c r="W145" s="273">
        <v>2355</v>
      </c>
      <c r="X145" s="273">
        <v>280</v>
      </c>
      <c r="Y145" s="273">
        <v>26</v>
      </c>
      <c r="Z145" s="273">
        <v>0.9140518956317455</v>
      </c>
      <c r="AA145" s="273">
        <v>2</v>
      </c>
      <c r="AB145" s="273">
        <v>2</v>
      </c>
      <c r="AC145" s="273">
        <v>0.22711925126789695</v>
      </c>
      <c r="AD145" s="273">
        <v>320</v>
      </c>
      <c r="AE145" s="273">
        <v>38</v>
      </c>
      <c r="AF145" s="273">
        <v>12</v>
      </c>
      <c r="AG145" s="273">
        <v>0</v>
      </c>
      <c r="AH145" s="273">
        <v>370</v>
      </c>
      <c r="AI145" s="273">
        <v>1.291347130441445</v>
      </c>
      <c r="AJ145" s="273">
        <v>2618</v>
      </c>
      <c r="AK145" s="273">
        <v>184</v>
      </c>
      <c r="AL145" s="273">
        <v>0.7436087327140457</v>
      </c>
      <c r="AM145" s="273">
        <v>1.20678379450374</v>
      </c>
      <c r="AN145" s="273">
        <v>0</v>
      </c>
      <c r="AO145" s="273">
        <v>0</v>
      </c>
      <c r="AP145" s="273">
        <f t="shared" si="1"/>
        <v>0</v>
      </c>
      <c r="AQ145" s="273">
        <v>-29314.746329082176</v>
      </c>
      <c r="AR145" s="273">
        <v>2720969.450861537</v>
      </c>
      <c r="AS145" s="273">
        <v>1</v>
      </c>
      <c r="AT145" s="273">
        <v>5697</v>
      </c>
      <c r="AU145" s="273">
        <v>0</v>
      </c>
      <c r="AV145" s="273">
        <v>0</v>
      </c>
      <c r="AW145" s="273">
        <v>0</v>
      </c>
      <c r="AX145" s="273">
        <v>0</v>
      </c>
      <c r="AY145" s="273">
        <v>468.24</v>
      </c>
      <c r="AZ145" s="273">
        <v>12.166837519220913</v>
      </c>
      <c r="BA145" s="273">
        <v>4095</v>
      </c>
      <c r="BB145" s="273">
        <v>0.7187993680884676</v>
      </c>
      <c r="BC145" s="273">
        <v>0</v>
      </c>
      <c r="BD145" s="273">
        <v>0</v>
      </c>
      <c r="BE145" s="273">
        <v>5745</v>
      </c>
      <c r="BF145" s="273">
        <v>5697</v>
      </c>
      <c r="BG145" s="273">
        <v>-0.00835509138381201</v>
      </c>
      <c r="BH145" s="273">
        <v>0</v>
      </c>
      <c r="BI145" s="273">
        <v>0</v>
      </c>
      <c r="BJ145" s="273">
        <v>0</v>
      </c>
      <c r="BK145" s="273">
        <v>982083.1152218614</v>
      </c>
      <c r="BL145" s="273">
        <v>6662.93</v>
      </c>
    </row>
    <row r="146" spans="6:64" s="273" customFormat="1" ht="12.75">
      <c r="F146" s="273">
        <v>218</v>
      </c>
      <c r="G146" s="273" t="s">
        <v>82</v>
      </c>
      <c r="H146" s="273">
        <v>77</v>
      </c>
      <c r="I146" s="273">
        <v>14</v>
      </c>
      <c r="J146" s="273">
        <v>80</v>
      </c>
      <c r="K146" s="273">
        <v>53</v>
      </c>
      <c r="L146" s="273">
        <v>1040</v>
      </c>
      <c r="M146" s="273">
        <v>180</v>
      </c>
      <c r="N146" s="273">
        <v>160</v>
      </c>
      <c r="O146" s="273">
        <v>70</v>
      </c>
      <c r="P146" s="273">
        <v>1527</v>
      </c>
      <c r="Q146" s="273">
        <v>2</v>
      </c>
      <c r="R146" s="273">
        <v>4</v>
      </c>
      <c r="S146" s="273">
        <v>185.77</v>
      </c>
      <c r="T146" s="273">
        <v>8.219841739785757</v>
      </c>
      <c r="U146" s="273">
        <v>0</v>
      </c>
      <c r="V146" s="273">
        <v>0</v>
      </c>
      <c r="W146" s="273">
        <v>606</v>
      </c>
      <c r="X146" s="273">
        <v>137</v>
      </c>
      <c r="Y146" s="273">
        <v>9</v>
      </c>
      <c r="Z146" s="273">
        <v>0.7974528495248184</v>
      </c>
      <c r="AA146" s="273">
        <v>0</v>
      </c>
      <c r="AB146" s="273">
        <v>2</v>
      </c>
      <c r="AC146" s="273">
        <v>0.847346676144865</v>
      </c>
      <c r="AD146" s="273">
        <v>97</v>
      </c>
      <c r="AE146" s="273">
        <v>5</v>
      </c>
      <c r="AF146" s="273">
        <v>3</v>
      </c>
      <c r="AG146" s="273">
        <v>3</v>
      </c>
      <c r="AH146" s="273">
        <v>108</v>
      </c>
      <c r="AI146" s="273">
        <v>1.4062813448547593</v>
      </c>
      <c r="AJ146" s="273">
        <v>669</v>
      </c>
      <c r="AK146" s="273">
        <v>55</v>
      </c>
      <c r="AL146" s="273">
        <v>0.8698269758846383</v>
      </c>
      <c r="AM146" s="273">
        <v>1.10939835077238</v>
      </c>
      <c r="AN146" s="273">
        <v>0</v>
      </c>
      <c r="AO146" s="273">
        <v>0</v>
      </c>
      <c r="AP146" s="273">
        <f t="shared" si="1"/>
        <v>0</v>
      </c>
      <c r="AQ146" s="273">
        <v>87483.34700512048</v>
      </c>
      <c r="AR146" s="273">
        <v>1175627.717155</v>
      </c>
      <c r="AS146" s="273">
        <v>1</v>
      </c>
      <c r="AT146" s="273">
        <v>1527</v>
      </c>
      <c r="AU146" s="273">
        <v>0</v>
      </c>
      <c r="AV146" s="273">
        <v>0</v>
      </c>
      <c r="AW146" s="273">
        <v>0</v>
      </c>
      <c r="AX146" s="273">
        <v>0.020533333333333334</v>
      </c>
      <c r="AY146" s="273">
        <v>185.77</v>
      </c>
      <c r="AZ146" s="273">
        <v>8.219841739785757</v>
      </c>
      <c r="BA146" s="273">
        <v>567</v>
      </c>
      <c r="BB146" s="273">
        <v>0.3713163064833006</v>
      </c>
      <c r="BC146" s="273">
        <v>0</v>
      </c>
      <c r="BD146" s="273">
        <v>0</v>
      </c>
      <c r="BE146" s="273">
        <v>1574</v>
      </c>
      <c r="BF146" s="273">
        <v>1527</v>
      </c>
      <c r="BG146" s="273">
        <v>-0.02986022871664549</v>
      </c>
      <c r="BH146" s="273">
        <v>0</v>
      </c>
      <c r="BI146" s="273">
        <v>0</v>
      </c>
      <c r="BJ146" s="273">
        <v>0</v>
      </c>
      <c r="BK146" s="273">
        <v>323074.6348570041</v>
      </c>
      <c r="BL146" s="273">
        <v>6960.44</v>
      </c>
    </row>
    <row r="147" spans="6:64" s="273" customFormat="1" ht="12.75">
      <c r="F147" s="273">
        <v>224</v>
      </c>
      <c r="G147" s="273" t="s">
        <v>83</v>
      </c>
      <c r="H147" s="273">
        <v>736</v>
      </c>
      <c r="I147" s="273">
        <v>108</v>
      </c>
      <c r="J147" s="273">
        <v>648</v>
      </c>
      <c r="K147" s="273">
        <v>275</v>
      </c>
      <c r="L147" s="273">
        <v>6663</v>
      </c>
      <c r="M147" s="273">
        <v>949</v>
      </c>
      <c r="N147" s="273">
        <v>594</v>
      </c>
      <c r="O147" s="273">
        <v>248</v>
      </c>
      <c r="P147" s="273">
        <v>9190</v>
      </c>
      <c r="Q147" s="273">
        <v>10</v>
      </c>
      <c r="R147" s="273">
        <v>43</v>
      </c>
      <c r="S147" s="273">
        <v>242.36</v>
      </c>
      <c r="T147" s="273">
        <v>37.91879848159762</v>
      </c>
      <c r="U147" s="273">
        <v>0</v>
      </c>
      <c r="V147" s="273">
        <v>0</v>
      </c>
      <c r="W147" s="273">
        <v>3918</v>
      </c>
      <c r="X147" s="273">
        <v>90</v>
      </c>
      <c r="Y147" s="273">
        <v>36</v>
      </c>
      <c r="Z147" s="273">
        <v>1.0167722942446542</v>
      </c>
      <c r="AA147" s="273">
        <v>5</v>
      </c>
      <c r="AB147" s="273">
        <v>5</v>
      </c>
      <c r="AC147" s="273">
        <v>0.35198541198944744</v>
      </c>
      <c r="AD147" s="273">
        <v>362</v>
      </c>
      <c r="AE147" s="273">
        <v>49</v>
      </c>
      <c r="AF147" s="273">
        <v>12</v>
      </c>
      <c r="AG147" s="273">
        <v>4</v>
      </c>
      <c r="AH147" s="273">
        <v>427</v>
      </c>
      <c r="AI147" s="273">
        <v>0.9238465915087897</v>
      </c>
      <c r="AJ147" s="273">
        <v>4395</v>
      </c>
      <c r="AK147" s="273">
        <v>366</v>
      </c>
      <c r="AL147" s="273">
        <v>0.8810864178436538</v>
      </c>
      <c r="AM147" s="273">
        <v>0.989569369837634</v>
      </c>
      <c r="AN147" s="273">
        <v>0</v>
      </c>
      <c r="AO147" s="273">
        <v>0</v>
      </c>
      <c r="AP147" s="273">
        <f t="shared" si="1"/>
        <v>0</v>
      </c>
      <c r="AQ147" s="273">
        <v>-10497.994075188413</v>
      </c>
      <c r="AR147" s="273">
        <v>1300235.7461333356</v>
      </c>
      <c r="AS147" s="273">
        <v>1</v>
      </c>
      <c r="AT147" s="273">
        <v>9190</v>
      </c>
      <c r="AU147" s="273">
        <v>0</v>
      </c>
      <c r="AV147" s="273">
        <v>0</v>
      </c>
      <c r="AW147" s="273">
        <v>0</v>
      </c>
      <c r="AX147" s="273">
        <v>0</v>
      </c>
      <c r="AY147" s="273">
        <v>242.36</v>
      </c>
      <c r="AZ147" s="273">
        <v>37.91879848159762</v>
      </c>
      <c r="BA147" s="273">
        <v>7695</v>
      </c>
      <c r="BB147" s="273">
        <v>0.8373231773667029</v>
      </c>
      <c r="BC147" s="273">
        <v>0</v>
      </c>
      <c r="BD147" s="273">
        <v>0</v>
      </c>
      <c r="BE147" s="273">
        <v>9076</v>
      </c>
      <c r="BF147" s="273">
        <v>9190</v>
      </c>
      <c r="BG147" s="273">
        <v>0.0125605993829881</v>
      </c>
      <c r="BH147" s="273">
        <v>0</v>
      </c>
      <c r="BI147" s="273">
        <v>0</v>
      </c>
      <c r="BJ147" s="273">
        <v>0</v>
      </c>
      <c r="BK147" s="273">
        <v>1217107.7108613255</v>
      </c>
      <c r="BL147" s="273">
        <v>5943.26</v>
      </c>
    </row>
    <row r="148" spans="6:64" s="273" customFormat="1" ht="12.75">
      <c r="F148" s="273">
        <v>226</v>
      </c>
      <c r="G148" s="273" t="s">
        <v>84</v>
      </c>
      <c r="H148" s="273">
        <v>291</v>
      </c>
      <c r="I148" s="273">
        <v>49</v>
      </c>
      <c r="J148" s="273">
        <v>276</v>
      </c>
      <c r="K148" s="273">
        <v>155</v>
      </c>
      <c r="L148" s="273">
        <v>3020</v>
      </c>
      <c r="M148" s="273">
        <v>594</v>
      </c>
      <c r="N148" s="273">
        <v>414</v>
      </c>
      <c r="O148" s="273">
        <v>143</v>
      </c>
      <c r="P148" s="273">
        <v>4462</v>
      </c>
      <c r="Q148" s="273">
        <v>0</v>
      </c>
      <c r="R148" s="273">
        <v>3</v>
      </c>
      <c r="S148" s="273">
        <v>887.26</v>
      </c>
      <c r="T148" s="273">
        <v>5.028965579424295</v>
      </c>
      <c r="U148" s="273">
        <v>0</v>
      </c>
      <c r="V148" s="273">
        <v>0</v>
      </c>
      <c r="W148" s="273">
        <v>1574</v>
      </c>
      <c r="X148" s="273">
        <v>245</v>
      </c>
      <c r="Y148" s="273">
        <v>24</v>
      </c>
      <c r="Z148" s="273">
        <v>0.8710149121453403</v>
      </c>
      <c r="AA148" s="273">
        <v>11</v>
      </c>
      <c r="AB148" s="273">
        <v>11</v>
      </c>
      <c r="AC148" s="273">
        <v>1.5948993858365417</v>
      </c>
      <c r="AD148" s="273">
        <v>287</v>
      </c>
      <c r="AE148" s="273">
        <v>30</v>
      </c>
      <c r="AF148" s="273">
        <v>15</v>
      </c>
      <c r="AG148" s="273">
        <v>0</v>
      </c>
      <c r="AH148" s="273">
        <v>332</v>
      </c>
      <c r="AI148" s="273">
        <v>1.4794354294556258</v>
      </c>
      <c r="AJ148" s="273">
        <v>1916</v>
      </c>
      <c r="AK148" s="273">
        <v>220</v>
      </c>
      <c r="AL148" s="273">
        <v>1.2148522899098602</v>
      </c>
      <c r="AM148" s="273">
        <v>1.38013547918549</v>
      </c>
      <c r="AN148" s="273">
        <v>0.05</v>
      </c>
      <c r="AO148" s="273">
        <v>0</v>
      </c>
      <c r="AP148" s="273">
        <f t="shared" si="1"/>
        <v>0.05</v>
      </c>
      <c r="AQ148" s="273">
        <v>29320.945028565824</v>
      </c>
      <c r="AR148" s="273">
        <v>3330851.3318864843</v>
      </c>
      <c r="AS148" s="273">
        <v>1</v>
      </c>
      <c r="AT148" s="273">
        <v>4462</v>
      </c>
      <c r="AU148" s="273">
        <v>0</v>
      </c>
      <c r="AV148" s="273">
        <v>0</v>
      </c>
      <c r="AW148" s="273">
        <v>0</v>
      </c>
      <c r="AX148" s="273">
        <v>0.9006666666666667</v>
      </c>
      <c r="AY148" s="273">
        <v>887.26</v>
      </c>
      <c r="AZ148" s="273">
        <v>5.028965579424295</v>
      </c>
      <c r="BA148" s="273">
        <v>2222</v>
      </c>
      <c r="BB148" s="273">
        <v>0.49798296727924696</v>
      </c>
      <c r="BC148" s="273">
        <v>0</v>
      </c>
      <c r="BD148" s="273">
        <v>0</v>
      </c>
      <c r="BE148" s="273">
        <v>4618</v>
      </c>
      <c r="BF148" s="273">
        <v>4462</v>
      </c>
      <c r="BG148" s="273">
        <v>-0.033780857514075356</v>
      </c>
      <c r="BH148" s="273">
        <v>0</v>
      </c>
      <c r="BI148" s="273">
        <v>0</v>
      </c>
      <c r="BJ148" s="273">
        <v>0</v>
      </c>
      <c r="BK148" s="273">
        <v>972904.8187857815</v>
      </c>
      <c r="BL148" s="273">
        <v>7259.12</v>
      </c>
    </row>
    <row r="149" spans="6:64" s="273" customFormat="1" ht="12.75">
      <c r="F149" s="273">
        <v>230</v>
      </c>
      <c r="G149" s="273" t="s">
        <v>85</v>
      </c>
      <c r="H149" s="273">
        <v>131</v>
      </c>
      <c r="I149" s="273">
        <v>25</v>
      </c>
      <c r="J149" s="273">
        <v>164</v>
      </c>
      <c r="K149" s="273">
        <v>79</v>
      </c>
      <c r="L149" s="273">
        <v>1762</v>
      </c>
      <c r="M149" s="273">
        <v>342</v>
      </c>
      <c r="N149" s="273">
        <v>250</v>
      </c>
      <c r="O149" s="273">
        <v>114</v>
      </c>
      <c r="P149" s="273">
        <v>2599</v>
      </c>
      <c r="Q149" s="273">
        <v>0</v>
      </c>
      <c r="R149" s="273">
        <v>7</v>
      </c>
      <c r="S149" s="273">
        <v>502.38</v>
      </c>
      <c r="T149" s="273">
        <v>5.1733747362554245</v>
      </c>
      <c r="U149" s="273">
        <v>0</v>
      </c>
      <c r="V149" s="273">
        <v>0</v>
      </c>
      <c r="W149" s="273">
        <v>1000</v>
      </c>
      <c r="X149" s="273">
        <v>252</v>
      </c>
      <c r="Y149" s="273">
        <v>19</v>
      </c>
      <c r="Z149" s="273">
        <v>0.7658563807521243</v>
      </c>
      <c r="AA149" s="273">
        <v>0</v>
      </c>
      <c r="AB149" s="273">
        <v>2</v>
      </c>
      <c r="AC149" s="273">
        <v>0.4978446996818811</v>
      </c>
      <c r="AD149" s="273">
        <v>188</v>
      </c>
      <c r="AE149" s="273">
        <v>14</v>
      </c>
      <c r="AF149" s="273">
        <v>7</v>
      </c>
      <c r="AG149" s="273">
        <v>0</v>
      </c>
      <c r="AH149" s="273">
        <v>209</v>
      </c>
      <c r="AI149" s="273">
        <v>1.5989228308643726</v>
      </c>
      <c r="AJ149" s="273">
        <v>1179</v>
      </c>
      <c r="AK149" s="273">
        <v>128</v>
      </c>
      <c r="AL149" s="273">
        <v>1.1486625583923717</v>
      </c>
      <c r="AM149" s="273">
        <v>0.957924051720659</v>
      </c>
      <c r="AN149" s="273">
        <v>0.05</v>
      </c>
      <c r="AO149" s="273">
        <v>0</v>
      </c>
      <c r="AP149" s="273">
        <f t="shared" si="1"/>
        <v>0.05</v>
      </c>
      <c r="AQ149" s="273">
        <v>9185.336451798677</v>
      </c>
      <c r="AR149" s="273">
        <v>2409088.5122947358</v>
      </c>
      <c r="AS149" s="273">
        <v>1</v>
      </c>
      <c r="AT149" s="273">
        <v>2599</v>
      </c>
      <c r="AU149" s="273">
        <v>0</v>
      </c>
      <c r="AV149" s="273">
        <v>0</v>
      </c>
      <c r="AW149" s="273">
        <v>0</v>
      </c>
      <c r="AX149" s="273">
        <v>0.5229333333333334</v>
      </c>
      <c r="AY149" s="273">
        <v>502.38</v>
      </c>
      <c r="AZ149" s="273">
        <v>5.1733747362554245</v>
      </c>
      <c r="BA149" s="273">
        <v>847</v>
      </c>
      <c r="BB149" s="273">
        <v>0.32589457483647555</v>
      </c>
      <c r="BC149" s="273">
        <v>0</v>
      </c>
      <c r="BD149" s="273">
        <v>0</v>
      </c>
      <c r="BE149" s="273">
        <v>2728</v>
      </c>
      <c r="BF149" s="273">
        <v>2599</v>
      </c>
      <c r="BG149" s="273">
        <v>-0.04728739002932551</v>
      </c>
      <c r="BH149" s="273">
        <v>0</v>
      </c>
      <c r="BI149" s="273">
        <v>0</v>
      </c>
      <c r="BJ149" s="273">
        <v>0</v>
      </c>
      <c r="BK149" s="273">
        <v>796859.9162873477</v>
      </c>
      <c r="BL149" s="273">
        <v>7275.31</v>
      </c>
    </row>
    <row r="150" spans="6:64" s="273" customFormat="1" ht="12.75">
      <c r="F150" s="273">
        <v>231</v>
      </c>
      <c r="G150" s="273" t="s">
        <v>86</v>
      </c>
      <c r="H150" s="273">
        <v>65</v>
      </c>
      <c r="I150" s="273">
        <v>11</v>
      </c>
      <c r="J150" s="273">
        <v>69</v>
      </c>
      <c r="K150" s="273">
        <v>31</v>
      </c>
      <c r="L150" s="273">
        <v>974</v>
      </c>
      <c r="M150" s="273">
        <v>226</v>
      </c>
      <c r="N150" s="273">
        <v>101</v>
      </c>
      <c r="O150" s="273">
        <v>38</v>
      </c>
      <c r="P150" s="273">
        <v>1404</v>
      </c>
      <c r="Q150" s="273">
        <v>34</v>
      </c>
      <c r="R150" s="273">
        <v>7</v>
      </c>
      <c r="S150" s="273">
        <v>10.63</v>
      </c>
      <c r="T150" s="273">
        <v>132.07902163687675</v>
      </c>
      <c r="U150" s="273">
        <v>0</v>
      </c>
      <c r="V150" s="273">
        <v>1</v>
      </c>
      <c r="W150" s="273">
        <v>566</v>
      </c>
      <c r="X150" s="273">
        <v>28</v>
      </c>
      <c r="Y150" s="273">
        <v>13</v>
      </c>
      <c r="Z150" s="273">
        <v>0.9744569982959018</v>
      </c>
      <c r="AA150" s="273">
        <v>0</v>
      </c>
      <c r="AB150" s="273">
        <v>2</v>
      </c>
      <c r="AC150" s="273">
        <v>0.9215800387985819</v>
      </c>
      <c r="AD150" s="273">
        <v>60</v>
      </c>
      <c r="AE150" s="273">
        <v>7</v>
      </c>
      <c r="AF150" s="273">
        <v>2</v>
      </c>
      <c r="AG150" s="273">
        <v>0</v>
      </c>
      <c r="AH150" s="273">
        <v>69</v>
      </c>
      <c r="AI150" s="273">
        <v>0.9771685484457898</v>
      </c>
      <c r="AJ150" s="273">
        <v>661</v>
      </c>
      <c r="AK150" s="273">
        <v>100</v>
      </c>
      <c r="AL150" s="273">
        <v>1.6006443319125927</v>
      </c>
      <c r="AM150" s="273">
        <v>0.627744879162879</v>
      </c>
      <c r="AN150" s="273">
        <v>0</v>
      </c>
      <c r="AO150" s="273">
        <v>0</v>
      </c>
      <c r="AP150" s="273">
        <f t="shared" si="1"/>
        <v>0</v>
      </c>
      <c r="AQ150" s="273">
        <v>10795.96809515229</v>
      </c>
      <c r="AR150" s="273">
        <v>-202131.98092180007</v>
      </c>
      <c r="AS150" s="273">
        <v>0</v>
      </c>
      <c r="AT150" s="273">
        <v>1404</v>
      </c>
      <c r="AU150" s="273">
        <v>0</v>
      </c>
      <c r="AV150" s="273">
        <v>0</v>
      </c>
      <c r="AW150" s="273">
        <v>0</v>
      </c>
      <c r="AX150" s="273">
        <v>0.34908333333333336</v>
      </c>
      <c r="AY150" s="273">
        <v>10.63</v>
      </c>
      <c r="AZ150" s="273">
        <v>132.07902163687675</v>
      </c>
      <c r="BA150" s="273">
        <v>1390</v>
      </c>
      <c r="BB150" s="273">
        <v>0.99002849002849</v>
      </c>
      <c r="BC150" s="273">
        <v>1</v>
      </c>
      <c r="BD150" s="273">
        <v>0</v>
      </c>
      <c r="BE150" s="273">
        <v>1478</v>
      </c>
      <c r="BF150" s="273">
        <v>1404</v>
      </c>
      <c r="BG150" s="273">
        <v>-0.05006765899864682</v>
      </c>
      <c r="BH150" s="273">
        <v>0</v>
      </c>
      <c r="BI150" s="273">
        <v>0</v>
      </c>
      <c r="BJ150" s="273">
        <v>0</v>
      </c>
      <c r="BK150" s="273">
        <v>247025.4105099865</v>
      </c>
      <c r="BL150" s="273">
        <v>6455.36</v>
      </c>
    </row>
    <row r="151" spans="6:64" s="273" customFormat="1" ht="12.75">
      <c r="F151" s="273">
        <v>232</v>
      </c>
      <c r="G151" s="273" t="s">
        <v>87</v>
      </c>
      <c r="H151" s="273">
        <v>1013</v>
      </c>
      <c r="I151" s="273">
        <v>128</v>
      </c>
      <c r="J151" s="273">
        <v>931</v>
      </c>
      <c r="K151" s="273">
        <v>540</v>
      </c>
      <c r="L151" s="273">
        <v>10302</v>
      </c>
      <c r="M151" s="273">
        <v>1516</v>
      </c>
      <c r="N151" s="273">
        <v>937</v>
      </c>
      <c r="O151" s="273">
        <v>423</v>
      </c>
      <c r="P151" s="273">
        <v>14191</v>
      </c>
      <c r="Q151" s="273">
        <v>0</v>
      </c>
      <c r="R151" s="273">
        <v>11</v>
      </c>
      <c r="S151" s="273">
        <v>1299.1</v>
      </c>
      <c r="T151" s="273">
        <v>10.92371641905935</v>
      </c>
      <c r="U151" s="273">
        <v>0</v>
      </c>
      <c r="V151" s="273">
        <v>0</v>
      </c>
      <c r="W151" s="273">
        <v>5765</v>
      </c>
      <c r="X151" s="273">
        <v>632</v>
      </c>
      <c r="Y151" s="273">
        <v>84</v>
      </c>
      <c r="Z151" s="273">
        <v>0.920080583345522</v>
      </c>
      <c r="AA151" s="273">
        <v>19</v>
      </c>
      <c r="AB151" s="273">
        <v>19</v>
      </c>
      <c r="AC151" s="273">
        <v>0.8661852270802257</v>
      </c>
      <c r="AD151" s="273">
        <v>914</v>
      </c>
      <c r="AE151" s="273">
        <v>112</v>
      </c>
      <c r="AF151" s="273">
        <v>48</v>
      </c>
      <c r="AG151" s="273">
        <v>1</v>
      </c>
      <c r="AH151" s="273">
        <v>1075</v>
      </c>
      <c r="AI151" s="273">
        <v>1.5062011033419127</v>
      </c>
      <c r="AJ151" s="273">
        <v>6618</v>
      </c>
      <c r="AK151" s="273">
        <v>585</v>
      </c>
      <c r="AL151" s="273">
        <v>0.9352450188661542</v>
      </c>
      <c r="AM151" s="273">
        <v>1.32022713377076</v>
      </c>
      <c r="AN151" s="273">
        <v>0</v>
      </c>
      <c r="AO151" s="273">
        <v>0</v>
      </c>
      <c r="AP151" s="273">
        <f t="shared" si="1"/>
        <v>0</v>
      </c>
      <c r="AQ151" s="273">
        <v>220633.7152224183</v>
      </c>
      <c r="AR151" s="273">
        <v>8103804.765428569</v>
      </c>
      <c r="AS151" s="273">
        <v>1</v>
      </c>
      <c r="AT151" s="273">
        <v>14191</v>
      </c>
      <c r="AU151" s="273">
        <v>0</v>
      </c>
      <c r="AV151" s="273">
        <v>0</v>
      </c>
      <c r="AW151" s="273">
        <v>0</v>
      </c>
      <c r="AX151" s="273">
        <v>0</v>
      </c>
      <c r="AY151" s="273">
        <v>1299.1</v>
      </c>
      <c r="AZ151" s="273">
        <v>10.92371641905935</v>
      </c>
      <c r="BA151" s="273">
        <v>9271</v>
      </c>
      <c r="BB151" s="273">
        <v>0.6533013882037911</v>
      </c>
      <c r="BC151" s="273">
        <v>0</v>
      </c>
      <c r="BD151" s="273">
        <v>0</v>
      </c>
      <c r="BE151" s="273">
        <v>14379</v>
      </c>
      <c r="BF151" s="273">
        <v>14191</v>
      </c>
      <c r="BG151" s="273">
        <v>-0.013074622713679672</v>
      </c>
      <c r="BH151" s="273">
        <v>0</v>
      </c>
      <c r="BI151" s="273">
        <v>0</v>
      </c>
      <c r="BJ151" s="273">
        <v>0</v>
      </c>
      <c r="BK151" s="273">
        <v>2832354.1690453473</v>
      </c>
      <c r="BL151" s="273">
        <v>6736.19</v>
      </c>
    </row>
    <row r="152" spans="6:64" s="273" customFormat="1" ht="12.75">
      <c r="F152" s="273">
        <v>233</v>
      </c>
      <c r="G152" s="273" t="s">
        <v>88</v>
      </c>
      <c r="H152" s="273">
        <v>1314</v>
      </c>
      <c r="I152" s="273">
        <v>196</v>
      </c>
      <c r="J152" s="273">
        <v>1191</v>
      </c>
      <c r="K152" s="273">
        <v>616</v>
      </c>
      <c r="L152" s="273">
        <v>12087</v>
      </c>
      <c r="M152" s="273">
        <v>1849</v>
      </c>
      <c r="N152" s="273">
        <v>1437</v>
      </c>
      <c r="O152" s="273">
        <v>578</v>
      </c>
      <c r="P152" s="273">
        <v>17265</v>
      </c>
      <c r="Q152" s="273">
        <v>2</v>
      </c>
      <c r="R152" s="273">
        <v>16</v>
      </c>
      <c r="S152" s="273">
        <v>1313.73</v>
      </c>
      <c r="T152" s="273">
        <v>13.141969811148408</v>
      </c>
      <c r="U152" s="273">
        <v>0</v>
      </c>
      <c r="V152" s="273">
        <v>0</v>
      </c>
      <c r="W152" s="273">
        <v>6911</v>
      </c>
      <c r="X152" s="273">
        <v>928</v>
      </c>
      <c r="Y152" s="273">
        <v>95</v>
      </c>
      <c r="Z152" s="273">
        <v>0.8950488009252079</v>
      </c>
      <c r="AA152" s="273">
        <v>15</v>
      </c>
      <c r="AB152" s="273">
        <v>15</v>
      </c>
      <c r="AC152" s="273">
        <v>0.562075749119552</v>
      </c>
      <c r="AD152" s="273">
        <v>1064</v>
      </c>
      <c r="AE152" s="273">
        <v>131</v>
      </c>
      <c r="AF152" s="273">
        <v>41</v>
      </c>
      <c r="AG152" s="273">
        <v>9</v>
      </c>
      <c r="AH152" s="273">
        <v>1245</v>
      </c>
      <c r="AI152" s="273">
        <v>1.4338055791118598</v>
      </c>
      <c r="AJ152" s="273">
        <v>7688</v>
      </c>
      <c r="AK152" s="273">
        <v>404</v>
      </c>
      <c r="AL152" s="273">
        <v>0.5559865569345296</v>
      </c>
      <c r="AM152" s="273">
        <v>1.17600425419944</v>
      </c>
      <c r="AN152" s="273">
        <v>0</v>
      </c>
      <c r="AO152" s="273">
        <v>0</v>
      </c>
      <c r="AP152" s="273">
        <f t="shared" si="1"/>
        <v>0</v>
      </c>
      <c r="AQ152" s="273">
        <v>55571.627510622144</v>
      </c>
      <c r="AR152" s="273">
        <v>8953595.008374672</v>
      </c>
      <c r="AS152" s="273">
        <v>1</v>
      </c>
      <c r="AT152" s="273">
        <v>17265</v>
      </c>
      <c r="AU152" s="273">
        <v>0</v>
      </c>
      <c r="AV152" s="273">
        <v>0</v>
      </c>
      <c r="AW152" s="273">
        <v>0</v>
      </c>
      <c r="AX152" s="273">
        <v>0</v>
      </c>
      <c r="AY152" s="273">
        <v>1313.73</v>
      </c>
      <c r="AZ152" s="273">
        <v>13.141969811148408</v>
      </c>
      <c r="BA152" s="273">
        <v>11163</v>
      </c>
      <c r="BB152" s="273">
        <v>0.6465682015638575</v>
      </c>
      <c r="BC152" s="273">
        <v>0</v>
      </c>
      <c r="BD152" s="273">
        <v>0</v>
      </c>
      <c r="BE152" s="273">
        <v>17773</v>
      </c>
      <c r="BF152" s="273">
        <v>17265</v>
      </c>
      <c r="BG152" s="273">
        <v>-0.028582681595678838</v>
      </c>
      <c r="BH152" s="273">
        <v>0</v>
      </c>
      <c r="BI152" s="273">
        <v>0</v>
      </c>
      <c r="BJ152" s="273">
        <v>0</v>
      </c>
      <c r="BK152" s="273">
        <v>2988149.9508670876</v>
      </c>
      <c r="BL152" s="273">
        <v>6615.28</v>
      </c>
    </row>
    <row r="153" spans="6:64" s="273" customFormat="1" ht="12.75">
      <c r="F153" s="273">
        <v>235</v>
      </c>
      <c r="G153" s="273" t="s">
        <v>89</v>
      </c>
      <c r="H153" s="273">
        <v>671</v>
      </c>
      <c r="I153" s="273">
        <v>120</v>
      </c>
      <c r="J153" s="273">
        <v>736</v>
      </c>
      <c r="K153" s="273">
        <v>373</v>
      </c>
      <c r="L153" s="273">
        <v>6369</v>
      </c>
      <c r="M153" s="273">
        <v>992</v>
      </c>
      <c r="N153" s="273">
        <v>551</v>
      </c>
      <c r="O153" s="273">
        <v>224</v>
      </c>
      <c r="P153" s="273">
        <v>8807</v>
      </c>
      <c r="Q153" s="273">
        <v>572</v>
      </c>
      <c r="R153" s="273">
        <v>43</v>
      </c>
      <c r="S153" s="273">
        <v>5.88</v>
      </c>
      <c r="T153" s="273">
        <v>1497.7891156462586</v>
      </c>
      <c r="U153" s="273">
        <v>0</v>
      </c>
      <c r="V153" s="273">
        <v>1</v>
      </c>
      <c r="W153" s="273">
        <v>3686</v>
      </c>
      <c r="X153" s="273">
        <v>11</v>
      </c>
      <c r="Y153" s="273">
        <v>57</v>
      </c>
      <c r="Z153" s="273">
        <v>1.0311765742326786</v>
      </c>
      <c r="AA153" s="273">
        <v>3</v>
      </c>
      <c r="AB153" s="273">
        <v>2</v>
      </c>
      <c r="AC153" s="273">
        <v>0.14691704036257622</v>
      </c>
      <c r="AD153" s="273">
        <v>179</v>
      </c>
      <c r="AE153" s="273">
        <v>43</v>
      </c>
      <c r="AF153" s="273">
        <v>14</v>
      </c>
      <c r="AG153" s="273">
        <v>5</v>
      </c>
      <c r="AH153" s="273">
        <v>241</v>
      </c>
      <c r="AI153" s="273">
        <v>0.5440972657229365</v>
      </c>
      <c r="AJ153" s="273">
        <v>3867</v>
      </c>
      <c r="AK153" s="273">
        <v>145</v>
      </c>
      <c r="AL153" s="273">
        <v>0.3967255132975496</v>
      </c>
      <c r="AM153" s="273">
        <v>0.504552960580269</v>
      </c>
      <c r="AN153" s="273">
        <v>0</v>
      </c>
      <c r="AO153" s="273">
        <v>0</v>
      </c>
      <c r="AP153" s="273">
        <f t="shared" si="1"/>
        <v>0</v>
      </c>
      <c r="AQ153" s="273">
        <v>-383247.70536642754</v>
      </c>
      <c r="AR153" s="273">
        <v>-11513443.894974552</v>
      </c>
      <c r="AS153" s="273">
        <v>1</v>
      </c>
      <c r="AT153" s="273">
        <v>8807</v>
      </c>
      <c r="AU153" s="273">
        <v>0</v>
      </c>
      <c r="AV153" s="273">
        <v>0</v>
      </c>
      <c r="AW153" s="273">
        <v>0</v>
      </c>
      <c r="AX153" s="273">
        <v>0</v>
      </c>
      <c r="AY153" s="273">
        <v>5.88</v>
      </c>
      <c r="AZ153" s="273">
        <v>1497.7891156462586</v>
      </c>
      <c r="BA153" s="273">
        <v>8699</v>
      </c>
      <c r="BB153" s="273">
        <v>0.9877370273645963</v>
      </c>
      <c r="BC153" s="273">
        <v>1</v>
      </c>
      <c r="BD153" s="273">
        <v>0</v>
      </c>
      <c r="BE153" s="273">
        <v>8545</v>
      </c>
      <c r="BF153" s="273">
        <v>8807</v>
      </c>
      <c r="BG153" s="273">
        <v>0.030661205383265066</v>
      </c>
      <c r="BH153" s="273">
        <v>0</v>
      </c>
      <c r="BI153" s="273">
        <v>1</v>
      </c>
      <c r="BJ153" s="273">
        <v>0.00011354604292040422</v>
      </c>
      <c r="BK153" s="273">
        <v>716956.9227658347</v>
      </c>
      <c r="BL153" s="273">
        <v>6546.47</v>
      </c>
    </row>
    <row r="154" spans="6:64" s="273" customFormat="1" ht="12.75">
      <c r="F154" s="273">
        <v>236</v>
      </c>
      <c r="G154" s="273" t="s">
        <v>90</v>
      </c>
      <c r="H154" s="273">
        <v>374</v>
      </c>
      <c r="I154" s="273">
        <v>40</v>
      </c>
      <c r="J154" s="273">
        <v>301</v>
      </c>
      <c r="K154" s="273">
        <v>137</v>
      </c>
      <c r="L154" s="273">
        <v>3078</v>
      </c>
      <c r="M154" s="273">
        <v>426</v>
      </c>
      <c r="N154" s="273">
        <v>307</v>
      </c>
      <c r="O154" s="273">
        <v>95</v>
      </c>
      <c r="P154" s="273">
        <v>4280</v>
      </c>
      <c r="Q154" s="273">
        <v>4</v>
      </c>
      <c r="R154" s="273">
        <v>6</v>
      </c>
      <c r="S154" s="273">
        <v>354.03</v>
      </c>
      <c r="T154" s="273">
        <v>12.08937095726351</v>
      </c>
      <c r="U154" s="273">
        <v>0</v>
      </c>
      <c r="V154" s="273">
        <v>0</v>
      </c>
      <c r="W154" s="273">
        <v>1899</v>
      </c>
      <c r="X154" s="273">
        <v>351</v>
      </c>
      <c r="Y154" s="273">
        <v>27</v>
      </c>
      <c r="Z154" s="273">
        <v>0.8414417487248584</v>
      </c>
      <c r="AA154" s="273">
        <v>3</v>
      </c>
      <c r="AB154" s="273">
        <v>2</v>
      </c>
      <c r="AC154" s="273">
        <v>0.3023127043161703</v>
      </c>
      <c r="AD154" s="273">
        <v>239</v>
      </c>
      <c r="AE154" s="273">
        <v>41</v>
      </c>
      <c r="AF154" s="273">
        <v>12</v>
      </c>
      <c r="AG154" s="273">
        <v>1</v>
      </c>
      <c r="AH154" s="273">
        <v>293</v>
      </c>
      <c r="AI154" s="273">
        <v>1.3611668024896435</v>
      </c>
      <c r="AJ154" s="273">
        <v>2081</v>
      </c>
      <c r="AK154" s="273">
        <v>114</v>
      </c>
      <c r="AL154" s="273">
        <v>0.5796009273759803</v>
      </c>
      <c r="AM154" s="273">
        <v>0.732049687396355</v>
      </c>
      <c r="AN154" s="273">
        <v>0</v>
      </c>
      <c r="AO154" s="273">
        <v>0</v>
      </c>
      <c r="AP154" s="273">
        <f t="shared" si="1"/>
        <v>0</v>
      </c>
      <c r="AQ154" s="273">
        <v>2179.703014673665</v>
      </c>
      <c r="AR154" s="273">
        <v>2298791.319853657</v>
      </c>
      <c r="AS154" s="273">
        <v>1</v>
      </c>
      <c r="AT154" s="273">
        <v>4280</v>
      </c>
      <c r="AU154" s="273">
        <v>0</v>
      </c>
      <c r="AV154" s="273">
        <v>0</v>
      </c>
      <c r="AW154" s="273">
        <v>0</v>
      </c>
      <c r="AX154" s="273">
        <v>0.0516</v>
      </c>
      <c r="AY154" s="273">
        <v>354.03</v>
      </c>
      <c r="AZ154" s="273">
        <v>12.08937095726351</v>
      </c>
      <c r="BA154" s="273">
        <v>2711</v>
      </c>
      <c r="BB154" s="273">
        <v>0.633411214953271</v>
      </c>
      <c r="BC154" s="273">
        <v>0</v>
      </c>
      <c r="BD154" s="273">
        <v>0</v>
      </c>
      <c r="BE154" s="273">
        <v>4313</v>
      </c>
      <c r="BF154" s="273">
        <v>4280</v>
      </c>
      <c r="BG154" s="273">
        <v>-0.007651286807326687</v>
      </c>
      <c r="BH154" s="273">
        <v>0</v>
      </c>
      <c r="BI154" s="273">
        <v>1</v>
      </c>
      <c r="BJ154" s="273">
        <v>0.00023364485981308412</v>
      </c>
      <c r="BK154" s="273">
        <v>814571.0786594938</v>
      </c>
      <c r="BL154" s="273">
        <v>6686.87</v>
      </c>
    </row>
    <row r="155" spans="6:64" s="273" customFormat="1" ht="12.75">
      <c r="F155" s="273">
        <v>239</v>
      </c>
      <c r="G155" s="273" t="s">
        <v>91</v>
      </c>
      <c r="H155" s="273">
        <v>134</v>
      </c>
      <c r="I155" s="273">
        <v>21</v>
      </c>
      <c r="J155" s="273">
        <v>144</v>
      </c>
      <c r="K155" s="273">
        <v>60</v>
      </c>
      <c r="L155" s="273">
        <v>1728</v>
      </c>
      <c r="M155" s="273">
        <v>321</v>
      </c>
      <c r="N155" s="273">
        <v>244</v>
      </c>
      <c r="O155" s="273">
        <v>97</v>
      </c>
      <c r="P155" s="273">
        <v>2524</v>
      </c>
      <c r="Q155" s="273">
        <v>0</v>
      </c>
      <c r="R155" s="273">
        <v>2</v>
      </c>
      <c r="S155" s="273">
        <v>481.79</v>
      </c>
      <c r="T155" s="273">
        <v>5.2387969862388175</v>
      </c>
      <c r="U155" s="273">
        <v>0</v>
      </c>
      <c r="V155" s="273">
        <v>0</v>
      </c>
      <c r="W155" s="273">
        <v>932</v>
      </c>
      <c r="X155" s="273">
        <v>146</v>
      </c>
      <c r="Y155" s="273">
        <v>14</v>
      </c>
      <c r="Z155" s="273">
        <v>0.8702042393611095</v>
      </c>
      <c r="AA155" s="273">
        <v>3</v>
      </c>
      <c r="AB155" s="273">
        <v>2</v>
      </c>
      <c r="AC155" s="273">
        <v>0.5126380247516675</v>
      </c>
      <c r="AD155" s="273">
        <v>193</v>
      </c>
      <c r="AE155" s="273">
        <v>16</v>
      </c>
      <c r="AF155" s="273">
        <v>2</v>
      </c>
      <c r="AG155" s="273">
        <v>1</v>
      </c>
      <c r="AH155" s="273">
        <v>212</v>
      </c>
      <c r="AI155" s="273">
        <v>1.6700674344139304</v>
      </c>
      <c r="AJ155" s="273">
        <v>1080</v>
      </c>
      <c r="AK155" s="273">
        <v>118</v>
      </c>
      <c r="AL155" s="273">
        <v>1.155991264819615</v>
      </c>
      <c r="AM155" s="273">
        <v>1.55372698122592</v>
      </c>
      <c r="AN155" s="273">
        <v>0.05</v>
      </c>
      <c r="AO155" s="273">
        <v>0</v>
      </c>
      <c r="AP155" s="273">
        <f t="shared" si="1"/>
        <v>0.05</v>
      </c>
      <c r="AQ155" s="273">
        <v>-73467.48825489823</v>
      </c>
      <c r="AR155" s="273">
        <v>1493328.3164432421</v>
      </c>
      <c r="AS155" s="273">
        <v>1</v>
      </c>
      <c r="AT155" s="273">
        <v>2524</v>
      </c>
      <c r="AU155" s="273">
        <v>0</v>
      </c>
      <c r="AV155" s="273">
        <v>0</v>
      </c>
      <c r="AW155" s="273">
        <v>0</v>
      </c>
      <c r="AX155" s="273">
        <v>0.9854833333333333</v>
      </c>
      <c r="AY155" s="273">
        <v>481.79</v>
      </c>
      <c r="AZ155" s="273">
        <v>5.2387969862388175</v>
      </c>
      <c r="BA155" s="273">
        <v>1266</v>
      </c>
      <c r="BB155" s="273">
        <v>0.5015847860538827</v>
      </c>
      <c r="BC155" s="273">
        <v>0</v>
      </c>
      <c r="BD155" s="273">
        <v>0</v>
      </c>
      <c r="BE155" s="273">
        <v>2618</v>
      </c>
      <c r="BF155" s="273">
        <v>2524</v>
      </c>
      <c r="BG155" s="273">
        <v>-0.03590527119938885</v>
      </c>
      <c r="BH155" s="273">
        <v>0</v>
      </c>
      <c r="BI155" s="273">
        <v>0</v>
      </c>
      <c r="BJ155" s="273">
        <v>0</v>
      </c>
      <c r="BK155" s="273">
        <v>500915.7767233639</v>
      </c>
      <c r="BL155" s="273">
        <v>7251</v>
      </c>
    </row>
    <row r="156" spans="6:64" s="273" customFormat="1" ht="12.75">
      <c r="F156" s="273">
        <v>240</v>
      </c>
      <c r="G156" s="273" t="s">
        <v>92</v>
      </c>
      <c r="H156" s="273">
        <v>1612</v>
      </c>
      <c r="I156" s="273">
        <v>225</v>
      </c>
      <c r="J156" s="273">
        <v>1221</v>
      </c>
      <c r="K156" s="273">
        <v>666</v>
      </c>
      <c r="L156" s="273">
        <v>16185</v>
      </c>
      <c r="M156" s="273">
        <v>2383</v>
      </c>
      <c r="N156" s="273">
        <v>1675</v>
      </c>
      <c r="O156" s="273">
        <v>544</v>
      </c>
      <c r="P156" s="273">
        <v>22399</v>
      </c>
      <c r="Q156" s="273">
        <v>1</v>
      </c>
      <c r="R156" s="273">
        <v>94</v>
      </c>
      <c r="S156" s="273">
        <v>95.35</v>
      </c>
      <c r="T156" s="273">
        <v>234.91347666491873</v>
      </c>
      <c r="U156" s="273">
        <v>0</v>
      </c>
      <c r="V156" s="273">
        <v>0</v>
      </c>
      <c r="W156" s="273">
        <v>7864</v>
      </c>
      <c r="X156" s="273">
        <v>47</v>
      </c>
      <c r="Y156" s="273">
        <v>57</v>
      </c>
      <c r="Z156" s="273">
        <v>1.036664014347558</v>
      </c>
      <c r="AA156" s="273">
        <v>53</v>
      </c>
      <c r="AB156" s="273">
        <v>53</v>
      </c>
      <c r="AC156" s="273">
        <v>1.5307963267797684</v>
      </c>
      <c r="AD156" s="273">
        <v>1426</v>
      </c>
      <c r="AE156" s="273">
        <v>145</v>
      </c>
      <c r="AF156" s="273">
        <v>40</v>
      </c>
      <c r="AG156" s="273">
        <v>3</v>
      </c>
      <c r="AH156" s="273">
        <v>1614</v>
      </c>
      <c r="AI156" s="273">
        <v>1.432723544346165</v>
      </c>
      <c r="AJ156" s="273">
        <v>9642</v>
      </c>
      <c r="AK156" s="273">
        <v>1379</v>
      </c>
      <c r="AL156" s="273">
        <v>1.513189919913539</v>
      </c>
      <c r="AM156" s="273">
        <v>1.86198109421121</v>
      </c>
      <c r="AN156" s="273">
        <v>0</v>
      </c>
      <c r="AO156" s="273">
        <v>0</v>
      </c>
      <c r="AP156" s="273">
        <f t="shared" si="1"/>
        <v>0</v>
      </c>
      <c r="AQ156" s="273">
        <v>-426000.6102620363</v>
      </c>
      <c r="AR156" s="273">
        <v>2273553.0758939562</v>
      </c>
      <c r="AS156" s="273">
        <v>1</v>
      </c>
      <c r="AT156" s="273">
        <v>22399</v>
      </c>
      <c r="AU156" s="273">
        <v>0</v>
      </c>
      <c r="AV156" s="273">
        <v>0</v>
      </c>
      <c r="AW156" s="273">
        <v>0</v>
      </c>
      <c r="AX156" s="273">
        <v>0</v>
      </c>
      <c r="AY156" s="273">
        <v>95.35</v>
      </c>
      <c r="AZ156" s="273">
        <v>234.91347666491873</v>
      </c>
      <c r="BA156" s="273">
        <v>22104</v>
      </c>
      <c r="BB156" s="273">
        <v>0.9868297691861244</v>
      </c>
      <c r="BC156" s="273">
        <v>0</v>
      </c>
      <c r="BD156" s="273">
        <v>0</v>
      </c>
      <c r="BE156" s="273">
        <v>22594</v>
      </c>
      <c r="BF156" s="273">
        <v>22399</v>
      </c>
      <c r="BG156" s="273">
        <v>-0.00863060989643268</v>
      </c>
      <c r="BH156" s="273">
        <v>0</v>
      </c>
      <c r="BI156" s="273">
        <v>6</v>
      </c>
      <c r="BJ156" s="273">
        <v>0.00026786910129916513</v>
      </c>
      <c r="BK156" s="273">
        <v>3620046.6442657053</v>
      </c>
      <c r="BL156" s="273">
        <v>5910.13</v>
      </c>
    </row>
    <row r="157" spans="6:64" s="273" customFormat="1" ht="12.75">
      <c r="F157" s="273">
        <v>320</v>
      </c>
      <c r="G157" s="273" t="s">
        <v>93</v>
      </c>
      <c r="H157" s="273">
        <v>345</v>
      </c>
      <c r="I157" s="273">
        <v>39</v>
      </c>
      <c r="J157" s="273">
        <v>396</v>
      </c>
      <c r="K157" s="273">
        <v>224</v>
      </c>
      <c r="L157" s="273">
        <v>5525</v>
      </c>
      <c r="M157" s="273">
        <v>1294</v>
      </c>
      <c r="N157" s="273">
        <v>903</v>
      </c>
      <c r="O157" s="273">
        <v>228</v>
      </c>
      <c r="P157" s="273">
        <v>8295</v>
      </c>
      <c r="Q157" s="273">
        <v>0</v>
      </c>
      <c r="R157" s="273">
        <v>15</v>
      </c>
      <c r="S157" s="273">
        <v>3505.5</v>
      </c>
      <c r="T157" s="273">
        <v>2.3662815575524174</v>
      </c>
      <c r="U157" s="273">
        <v>0</v>
      </c>
      <c r="V157" s="273">
        <v>0</v>
      </c>
      <c r="W157" s="273">
        <v>2734</v>
      </c>
      <c r="X157" s="273">
        <v>184</v>
      </c>
      <c r="Y157" s="273">
        <v>40</v>
      </c>
      <c r="Z157" s="273">
        <v>0.9644839789591777</v>
      </c>
      <c r="AA157" s="273">
        <v>7</v>
      </c>
      <c r="AB157" s="273">
        <v>7</v>
      </c>
      <c r="AC157" s="273">
        <v>0.5459486812123244</v>
      </c>
      <c r="AD157" s="273">
        <v>598</v>
      </c>
      <c r="AE157" s="273">
        <v>48</v>
      </c>
      <c r="AF157" s="273">
        <v>21</v>
      </c>
      <c r="AG157" s="273">
        <v>5</v>
      </c>
      <c r="AH157" s="273">
        <v>672</v>
      </c>
      <c r="AI157" s="273">
        <v>1.6107953969756907</v>
      </c>
      <c r="AJ157" s="273">
        <v>3453</v>
      </c>
      <c r="AK157" s="273">
        <v>590</v>
      </c>
      <c r="AL157" s="273">
        <v>1.8078056269985288</v>
      </c>
      <c r="AM157" s="273">
        <v>1.57526401715484</v>
      </c>
      <c r="AN157" s="273">
        <v>0.0800000000000001</v>
      </c>
      <c r="AO157" s="273">
        <v>0</v>
      </c>
      <c r="AP157" s="273">
        <f t="shared" si="1"/>
        <v>0.0800000000000001</v>
      </c>
      <c r="AQ157" s="273">
        <v>174912.97830431908</v>
      </c>
      <c r="AR157" s="273">
        <v>3496701.628184995</v>
      </c>
      <c r="AS157" s="273">
        <v>0</v>
      </c>
      <c r="AT157" s="273">
        <v>8295</v>
      </c>
      <c r="AU157" s="273">
        <v>0</v>
      </c>
      <c r="AV157" s="273">
        <v>0</v>
      </c>
      <c r="AW157" s="273">
        <v>0</v>
      </c>
      <c r="AX157" s="273">
        <v>1.3012166666666667</v>
      </c>
      <c r="AY157" s="273">
        <v>3505.5</v>
      </c>
      <c r="AZ157" s="273">
        <v>2.3662815575524174</v>
      </c>
      <c r="BA157" s="273">
        <v>5634</v>
      </c>
      <c r="BB157" s="273">
        <v>0.6792043399638337</v>
      </c>
      <c r="BC157" s="273">
        <v>0</v>
      </c>
      <c r="BD157" s="273">
        <v>0</v>
      </c>
      <c r="BE157" s="273">
        <v>8658</v>
      </c>
      <c r="BF157" s="273">
        <v>8295</v>
      </c>
      <c r="BG157" s="273">
        <v>-0.041926541926541924</v>
      </c>
      <c r="BH157" s="273">
        <v>0</v>
      </c>
      <c r="BI157" s="273">
        <v>0</v>
      </c>
      <c r="BJ157" s="273">
        <v>0</v>
      </c>
      <c r="BK157" s="273">
        <v>1508440.6614353326</v>
      </c>
      <c r="BL157" s="273">
        <v>8108.81</v>
      </c>
    </row>
    <row r="158" spans="6:64" s="273" customFormat="1" ht="12.75">
      <c r="F158" s="273">
        <v>241</v>
      </c>
      <c r="G158" s="273" t="s">
        <v>94</v>
      </c>
      <c r="H158" s="273">
        <v>702</v>
      </c>
      <c r="I158" s="273">
        <v>100</v>
      </c>
      <c r="J158" s="273">
        <v>653</v>
      </c>
      <c r="K158" s="273">
        <v>348</v>
      </c>
      <c r="L158" s="273">
        <v>6350</v>
      </c>
      <c r="M158" s="273">
        <v>836</v>
      </c>
      <c r="N158" s="273">
        <v>505</v>
      </c>
      <c r="O158" s="273">
        <v>179</v>
      </c>
      <c r="P158" s="273">
        <v>8572</v>
      </c>
      <c r="Q158" s="273">
        <v>2</v>
      </c>
      <c r="R158" s="273">
        <v>6</v>
      </c>
      <c r="S158" s="273">
        <v>625.06</v>
      </c>
      <c r="T158" s="273">
        <v>13.71388346718715</v>
      </c>
      <c r="U158" s="273">
        <v>0</v>
      </c>
      <c r="V158" s="273">
        <v>0</v>
      </c>
      <c r="W158" s="273">
        <v>3414</v>
      </c>
      <c r="X158" s="273">
        <v>90</v>
      </c>
      <c r="Y158" s="273">
        <v>32</v>
      </c>
      <c r="Z158" s="273">
        <v>1.013015560648758</v>
      </c>
      <c r="AA158" s="273">
        <v>15</v>
      </c>
      <c r="AB158" s="273">
        <v>15</v>
      </c>
      <c r="AC158" s="273">
        <v>1.1320856052903718</v>
      </c>
      <c r="AD158" s="273">
        <v>372</v>
      </c>
      <c r="AE158" s="273">
        <v>62</v>
      </c>
      <c r="AF158" s="273">
        <v>8</v>
      </c>
      <c r="AG158" s="273">
        <v>3</v>
      </c>
      <c r="AH158" s="273">
        <v>445</v>
      </c>
      <c r="AI158" s="273">
        <v>1.032203543890727</v>
      </c>
      <c r="AJ158" s="273">
        <v>3958</v>
      </c>
      <c r="AK158" s="273">
        <v>395</v>
      </c>
      <c r="AL158" s="273">
        <v>1.0558873972731642</v>
      </c>
      <c r="AM158" s="273">
        <v>1.04078520701302</v>
      </c>
      <c r="AN158" s="273">
        <v>0</v>
      </c>
      <c r="AO158" s="273">
        <v>0</v>
      </c>
      <c r="AP158" s="273">
        <f t="shared" si="1"/>
        <v>0</v>
      </c>
      <c r="AQ158" s="273">
        <v>-51259.728174733</v>
      </c>
      <c r="AR158" s="273">
        <v>-67982.12241097413</v>
      </c>
      <c r="AS158" s="273">
        <v>1</v>
      </c>
      <c r="AT158" s="273">
        <v>8572</v>
      </c>
      <c r="AU158" s="273">
        <v>0</v>
      </c>
      <c r="AV158" s="273">
        <v>0</v>
      </c>
      <c r="AW158" s="273">
        <v>0</v>
      </c>
      <c r="AX158" s="273">
        <v>0</v>
      </c>
      <c r="AY158" s="273">
        <v>625.06</v>
      </c>
      <c r="AZ158" s="273">
        <v>13.71388346718715</v>
      </c>
      <c r="BA158" s="273">
        <v>7659</v>
      </c>
      <c r="BB158" s="273">
        <v>0.8934904339710686</v>
      </c>
      <c r="BC158" s="273">
        <v>0</v>
      </c>
      <c r="BD158" s="273">
        <v>0</v>
      </c>
      <c r="BE158" s="273">
        <v>8636</v>
      </c>
      <c r="BF158" s="273">
        <v>8572</v>
      </c>
      <c r="BG158" s="273">
        <v>-0.007410838351088467</v>
      </c>
      <c r="BH158" s="273">
        <v>0</v>
      </c>
      <c r="BI158" s="273">
        <v>2</v>
      </c>
      <c r="BJ158" s="273">
        <v>0.0002333177788147457</v>
      </c>
      <c r="BK158" s="273">
        <v>1413367.153460218</v>
      </c>
      <c r="BL158" s="273">
        <v>6583.5</v>
      </c>
    </row>
    <row r="159" spans="6:64" s="273" customFormat="1" ht="12.75">
      <c r="F159" s="273">
        <v>322</v>
      </c>
      <c r="G159" s="273" t="s">
        <v>95</v>
      </c>
      <c r="H159" s="273">
        <v>400</v>
      </c>
      <c r="I159" s="273">
        <v>65</v>
      </c>
      <c r="J159" s="273">
        <v>425</v>
      </c>
      <c r="K159" s="273">
        <v>232</v>
      </c>
      <c r="L159" s="273">
        <v>4843</v>
      </c>
      <c r="M159" s="273">
        <v>967</v>
      </c>
      <c r="N159" s="273">
        <v>671</v>
      </c>
      <c r="O159" s="273">
        <v>292</v>
      </c>
      <c r="P159" s="273">
        <v>7173</v>
      </c>
      <c r="Q159" s="273">
        <v>514</v>
      </c>
      <c r="R159" s="273">
        <v>17</v>
      </c>
      <c r="S159" s="273">
        <v>686.93</v>
      </c>
      <c r="T159" s="273">
        <v>10.44211200559009</v>
      </c>
      <c r="U159" s="273">
        <v>2</v>
      </c>
      <c r="V159" s="273">
        <v>3</v>
      </c>
      <c r="W159" s="273">
        <v>2935</v>
      </c>
      <c r="X159" s="273">
        <v>217</v>
      </c>
      <c r="Y159" s="273">
        <v>48</v>
      </c>
      <c r="Z159" s="273">
        <v>0.9557030291001753</v>
      </c>
      <c r="AA159" s="273">
        <v>10</v>
      </c>
      <c r="AB159" s="273">
        <v>10</v>
      </c>
      <c r="AC159" s="273">
        <v>0.9019227481341202</v>
      </c>
      <c r="AD159" s="273">
        <v>301</v>
      </c>
      <c r="AE159" s="273">
        <v>33</v>
      </c>
      <c r="AF159" s="273">
        <v>10</v>
      </c>
      <c r="AG159" s="273">
        <v>5</v>
      </c>
      <c r="AH159" s="273">
        <v>349</v>
      </c>
      <c r="AI159" s="273">
        <v>0.9674133880963501</v>
      </c>
      <c r="AJ159" s="273">
        <v>3173</v>
      </c>
      <c r="AK159" s="273">
        <v>187</v>
      </c>
      <c r="AL159" s="273">
        <v>0.6235450486439327</v>
      </c>
      <c r="AM159" s="273">
        <v>0.983088153144158</v>
      </c>
      <c r="AN159" s="273">
        <v>0</v>
      </c>
      <c r="AO159" s="273">
        <v>0</v>
      </c>
      <c r="AP159" s="273">
        <f t="shared" si="1"/>
        <v>0</v>
      </c>
      <c r="AQ159" s="273">
        <v>440505.1809879467</v>
      </c>
      <c r="AR159" s="273">
        <v>3763471.7793215197</v>
      </c>
      <c r="AS159" s="273">
        <v>1</v>
      </c>
      <c r="AT159" s="273">
        <v>7173</v>
      </c>
      <c r="AU159" s="273">
        <v>2</v>
      </c>
      <c r="AV159" s="273">
        <v>0</v>
      </c>
      <c r="AW159" s="273">
        <v>0</v>
      </c>
      <c r="AX159" s="273">
        <v>0.3424</v>
      </c>
      <c r="AY159" s="273">
        <v>686.93</v>
      </c>
      <c r="AZ159" s="273">
        <v>10.44211200559009</v>
      </c>
      <c r="BA159" s="273">
        <v>3743</v>
      </c>
      <c r="BB159" s="273">
        <v>0.521817928342395</v>
      </c>
      <c r="BC159" s="273">
        <v>3</v>
      </c>
      <c r="BD159" s="273">
        <v>0</v>
      </c>
      <c r="BE159" s="273">
        <v>7303</v>
      </c>
      <c r="BF159" s="273">
        <v>7173</v>
      </c>
      <c r="BG159" s="273">
        <v>-0.017800903738189783</v>
      </c>
      <c r="BH159" s="273">
        <v>0</v>
      </c>
      <c r="BI159" s="273">
        <v>0</v>
      </c>
      <c r="BJ159" s="273">
        <v>0</v>
      </c>
      <c r="BK159" s="273">
        <v>1195056.783061455</v>
      </c>
      <c r="BL159" s="273">
        <v>8042.62</v>
      </c>
    </row>
    <row r="160" spans="6:64" s="273" customFormat="1" ht="12.75">
      <c r="F160" s="273">
        <v>244</v>
      </c>
      <c r="G160" s="273" t="s">
        <v>96</v>
      </c>
      <c r="H160" s="273">
        <v>2020</v>
      </c>
      <c r="I160" s="273">
        <v>293</v>
      </c>
      <c r="J160" s="273">
        <v>1594</v>
      </c>
      <c r="K160" s="273">
        <v>759</v>
      </c>
      <c r="L160" s="273">
        <v>12397</v>
      </c>
      <c r="M160" s="273">
        <v>1150</v>
      </c>
      <c r="N160" s="273">
        <v>506</v>
      </c>
      <c r="O160" s="273">
        <v>109</v>
      </c>
      <c r="P160" s="273">
        <v>16182</v>
      </c>
      <c r="Q160" s="273">
        <v>11</v>
      </c>
      <c r="R160" s="273">
        <v>8</v>
      </c>
      <c r="S160" s="273">
        <v>110.12</v>
      </c>
      <c r="T160" s="273">
        <v>146.94878314565926</v>
      </c>
      <c r="U160" s="273">
        <v>0</v>
      </c>
      <c r="V160" s="273">
        <v>0</v>
      </c>
      <c r="W160" s="273">
        <v>6669</v>
      </c>
      <c r="X160" s="273">
        <v>75</v>
      </c>
      <c r="Y160" s="273">
        <v>72</v>
      </c>
      <c r="Z160" s="273">
        <v>1.0274007626683241</v>
      </c>
      <c r="AA160" s="273">
        <v>18</v>
      </c>
      <c r="AB160" s="273">
        <v>18</v>
      </c>
      <c r="AC160" s="273">
        <v>0.7196320213977803</v>
      </c>
      <c r="AD160" s="273">
        <v>468</v>
      </c>
      <c r="AE160" s="273">
        <v>143</v>
      </c>
      <c r="AF160" s="273">
        <v>32</v>
      </c>
      <c r="AG160" s="273">
        <v>4</v>
      </c>
      <c r="AH160" s="273">
        <v>647</v>
      </c>
      <c r="AI160" s="273">
        <v>0.7949861837769057</v>
      </c>
      <c r="AJ160" s="273">
        <v>7575</v>
      </c>
      <c r="AK160" s="273">
        <v>682</v>
      </c>
      <c r="AL160" s="273">
        <v>0.9525724965212681</v>
      </c>
      <c r="AM160" s="273">
        <v>0.888901116829056</v>
      </c>
      <c r="AN160" s="273">
        <v>0</v>
      </c>
      <c r="AO160" s="273">
        <v>0</v>
      </c>
      <c r="AP160" s="273">
        <f t="shared" si="1"/>
        <v>0</v>
      </c>
      <c r="AQ160" s="273">
        <v>-424852.51182803884</v>
      </c>
      <c r="AR160" s="273">
        <v>-314505.2829681548</v>
      </c>
      <c r="AS160" s="273">
        <v>1</v>
      </c>
      <c r="AT160" s="273">
        <v>16182</v>
      </c>
      <c r="AU160" s="273">
        <v>0</v>
      </c>
      <c r="AV160" s="273">
        <v>0</v>
      </c>
      <c r="AW160" s="273">
        <v>0</v>
      </c>
      <c r="AX160" s="273">
        <v>0</v>
      </c>
      <c r="AY160" s="273">
        <v>110.12</v>
      </c>
      <c r="AZ160" s="273">
        <v>146.94878314565926</v>
      </c>
      <c r="BA160" s="273">
        <v>15287</v>
      </c>
      <c r="BB160" s="273">
        <v>0.9446916326782845</v>
      </c>
      <c r="BC160" s="273">
        <v>0</v>
      </c>
      <c r="BD160" s="273">
        <v>0</v>
      </c>
      <c r="BE160" s="273">
        <v>15320</v>
      </c>
      <c r="BF160" s="273">
        <v>16182</v>
      </c>
      <c r="BG160" s="273">
        <v>0.05626631853785901</v>
      </c>
      <c r="BH160" s="273">
        <v>0</v>
      </c>
      <c r="BI160" s="273">
        <v>6</v>
      </c>
      <c r="BJ160" s="273">
        <v>0.0003707823507601038</v>
      </c>
      <c r="BK160" s="273">
        <v>2109452.6107319826</v>
      </c>
      <c r="BL160" s="273">
        <v>5851.97</v>
      </c>
    </row>
    <row r="161" spans="6:64" s="273" customFormat="1" ht="12.75">
      <c r="F161" s="273">
        <v>245</v>
      </c>
      <c r="G161" s="273" t="s">
        <v>97</v>
      </c>
      <c r="H161" s="273">
        <v>2933</v>
      </c>
      <c r="I161" s="273">
        <v>381</v>
      </c>
      <c r="J161" s="273">
        <v>2246</v>
      </c>
      <c r="K161" s="273">
        <v>1157</v>
      </c>
      <c r="L161" s="273">
        <v>26687</v>
      </c>
      <c r="M161" s="273">
        <v>3158</v>
      </c>
      <c r="N161" s="273">
        <v>1350</v>
      </c>
      <c r="O161" s="273">
        <v>421</v>
      </c>
      <c r="P161" s="273">
        <v>34549</v>
      </c>
      <c r="Q161" s="273">
        <v>43</v>
      </c>
      <c r="R161" s="273">
        <v>238</v>
      </c>
      <c r="S161" s="273">
        <v>30.62</v>
      </c>
      <c r="T161" s="273">
        <v>1128.3148269105159</v>
      </c>
      <c r="U161" s="273">
        <v>0</v>
      </c>
      <c r="V161" s="273">
        <v>0</v>
      </c>
      <c r="W161" s="273">
        <v>16635</v>
      </c>
      <c r="X161" s="273">
        <v>46</v>
      </c>
      <c r="Y161" s="273">
        <v>138</v>
      </c>
      <c r="Z161" s="273">
        <v>1.0389372169057995</v>
      </c>
      <c r="AA161" s="273">
        <v>47</v>
      </c>
      <c r="AB161" s="273">
        <v>47</v>
      </c>
      <c r="AC161" s="273">
        <v>0.8801010680517644</v>
      </c>
      <c r="AD161" s="273">
        <v>859</v>
      </c>
      <c r="AE161" s="273">
        <v>179</v>
      </c>
      <c r="AF161" s="273">
        <v>42</v>
      </c>
      <c r="AG161" s="273">
        <v>7</v>
      </c>
      <c r="AH161" s="273">
        <v>1087</v>
      </c>
      <c r="AI161" s="273">
        <v>0.6255781332513852</v>
      </c>
      <c r="AJ161" s="273">
        <v>17985</v>
      </c>
      <c r="AK161" s="273">
        <v>1166</v>
      </c>
      <c r="AL161" s="273">
        <v>0.6859372829344814</v>
      </c>
      <c r="AM161" s="273">
        <v>0.862743584360481</v>
      </c>
      <c r="AN161" s="273">
        <v>0</v>
      </c>
      <c r="AO161" s="273">
        <v>0</v>
      </c>
      <c r="AP161" s="273">
        <f t="shared" si="1"/>
        <v>0</v>
      </c>
      <c r="AQ161" s="273">
        <v>-443347.1452234015</v>
      </c>
      <c r="AR161" s="273">
        <v>-10692783.950505769</v>
      </c>
      <c r="AS161" s="273">
        <v>1</v>
      </c>
      <c r="AT161" s="273">
        <v>34549</v>
      </c>
      <c r="AU161" s="273">
        <v>0</v>
      </c>
      <c r="AV161" s="273">
        <v>0</v>
      </c>
      <c r="AW161" s="273">
        <v>0</v>
      </c>
      <c r="AX161" s="273">
        <v>0</v>
      </c>
      <c r="AY161" s="273">
        <v>30.62</v>
      </c>
      <c r="AZ161" s="273">
        <v>1128.3148269105159</v>
      </c>
      <c r="BA161" s="273">
        <v>33881</v>
      </c>
      <c r="BB161" s="273">
        <v>0.9806651422617152</v>
      </c>
      <c r="BC161" s="273">
        <v>0</v>
      </c>
      <c r="BD161" s="273">
        <v>0</v>
      </c>
      <c r="BE161" s="273">
        <v>33546</v>
      </c>
      <c r="BF161" s="273">
        <v>34549</v>
      </c>
      <c r="BG161" s="273">
        <v>0.02989924283073988</v>
      </c>
      <c r="BH161" s="273">
        <v>0</v>
      </c>
      <c r="BI161" s="273">
        <v>0</v>
      </c>
      <c r="BJ161" s="273">
        <v>0</v>
      </c>
      <c r="BK161" s="273">
        <v>3232110.9116615276</v>
      </c>
      <c r="BL161" s="273">
        <v>5942.82</v>
      </c>
    </row>
    <row r="162" spans="6:64" s="273" customFormat="1" ht="12.75">
      <c r="F162" s="273">
        <v>249</v>
      </c>
      <c r="G162" s="273" t="s">
        <v>98</v>
      </c>
      <c r="H162" s="273">
        <v>680</v>
      </c>
      <c r="I162" s="273">
        <v>82</v>
      </c>
      <c r="J162" s="273">
        <v>587</v>
      </c>
      <c r="K162" s="273">
        <v>355</v>
      </c>
      <c r="L162" s="273">
        <v>7219</v>
      </c>
      <c r="M162" s="273">
        <v>1373</v>
      </c>
      <c r="N162" s="273">
        <v>942</v>
      </c>
      <c r="O162" s="273">
        <v>360</v>
      </c>
      <c r="P162" s="273">
        <v>10574</v>
      </c>
      <c r="Q162" s="273">
        <v>0</v>
      </c>
      <c r="R162" s="273">
        <v>9</v>
      </c>
      <c r="S162" s="273">
        <v>1258.02</v>
      </c>
      <c r="T162" s="273">
        <v>8.405271776283366</v>
      </c>
      <c r="U162" s="273">
        <v>0</v>
      </c>
      <c r="V162" s="273">
        <v>0</v>
      </c>
      <c r="W162" s="273">
        <v>3945</v>
      </c>
      <c r="X162" s="273">
        <v>235</v>
      </c>
      <c r="Y162" s="273">
        <v>38</v>
      </c>
      <c r="Z162" s="273">
        <v>0.97785727627366</v>
      </c>
      <c r="AA162" s="273">
        <v>9</v>
      </c>
      <c r="AB162" s="273">
        <v>9</v>
      </c>
      <c r="AC162" s="273">
        <v>0.5506471236173104</v>
      </c>
      <c r="AD162" s="273">
        <v>638</v>
      </c>
      <c r="AE162" s="273">
        <v>67</v>
      </c>
      <c r="AF162" s="273">
        <v>26</v>
      </c>
      <c r="AG162" s="273">
        <v>1</v>
      </c>
      <c r="AH162" s="273">
        <v>732</v>
      </c>
      <c r="AI162" s="273">
        <v>1.37644629835431</v>
      </c>
      <c r="AJ162" s="273">
        <v>4600</v>
      </c>
      <c r="AK162" s="273">
        <v>557</v>
      </c>
      <c r="AL162" s="273">
        <v>1.2811313656317014</v>
      </c>
      <c r="AM162" s="273">
        <v>1.30659275124464</v>
      </c>
      <c r="AN162" s="273">
        <v>0</v>
      </c>
      <c r="AO162" s="273">
        <v>0</v>
      </c>
      <c r="AP162" s="273">
        <f t="shared" si="1"/>
        <v>0</v>
      </c>
      <c r="AQ162" s="273">
        <v>817469.7983167842</v>
      </c>
      <c r="AR162" s="273">
        <v>3823141.6178987357</v>
      </c>
      <c r="AS162" s="273">
        <v>1</v>
      </c>
      <c r="AT162" s="273">
        <v>10574</v>
      </c>
      <c r="AU162" s="273">
        <v>0</v>
      </c>
      <c r="AV162" s="273">
        <v>0</v>
      </c>
      <c r="AW162" s="273">
        <v>0</v>
      </c>
      <c r="AX162" s="273">
        <v>0</v>
      </c>
      <c r="AY162" s="273">
        <v>1258.02</v>
      </c>
      <c r="AZ162" s="273">
        <v>8.405271776283366</v>
      </c>
      <c r="BA162" s="273">
        <v>7321</v>
      </c>
      <c r="BB162" s="273">
        <v>0.6923586154719122</v>
      </c>
      <c r="BC162" s="273">
        <v>0</v>
      </c>
      <c r="BD162" s="273">
        <v>0</v>
      </c>
      <c r="BE162" s="273">
        <v>10896</v>
      </c>
      <c r="BF162" s="273">
        <v>10574</v>
      </c>
      <c r="BG162" s="273">
        <v>-0.029552129221732747</v>
      </c>
      <c r="BH162" s="273">
        <v>0</v>
      </c>
      <c r="BI162" s="273">
        <v>0</v>
      </c>
      <c r="BJ162" s="273">
        <v>0</v>
      </c>
      <c r="BK162" s="273">
        <v>1948992.9338203054</v>
      </c>
      <c r="BL162" s="273">
        <v>6913.4</v>
      </c>
    </row>
    <row r="163" spans="6:64" s="273" customFormat="1" ht="12.75">
      <c r="F163" s="273">
        <v>250</v>
      </c>
      <c r="G163" s="273" t="s">
        <v>99</v>
      </c>
      <c r="H163" s="273">
        <v>128</v>
      </c>
      <c r="I163" s="273">
        <v>13</v>
      </c>
      <c r="J163" s="273">
        <v>124</v>
      </c>
      <c r="K163" s="273">
        <v>66</v>
      </c>
      <c r="L163" s="273">
        <v>1500</v>
      </c>
      <c r="M163" s="273">
        <v>266</v>
      </c>
      <c r="N163" s="273">
        <v>202</v>
      </c>
      <c r="O163" s="273">
        <v>83</v>
      </c>
      <c r="P163" s="273">
        <v>2179</v>
      </c>
      <c r="Q163" s="273">
        <v>0</v>
      </c>
      <c r="R163" s="273">
        <v>1</v>
      </c>
      <c r="S163" s="273">
        <v>357.11</v>
      </c>
      <c r="T163" s="273">
        <v>6.101761362045308</v>
      </c>
      <c r="U163" s="273">
        <v>0</v>
      </c>
      <c r="V163" s="273">
        <v>0</v>
      </c>
      <c r="W163" s="273">
        <v>834</v>
      </c>
      <c r="X163" s="273">
        <v>80</v>
      </c>
      <c r="Y163" s="273">
        <v>14</v>
      </c>
      <c r="Z163" s="273">
        <v>0.9321492958005151</v>
      </c>
      <c r="AA163" s="273">
        <v>2</v>
      </c>
      <c r="AB163" s="273">
        <v>2</v>
      </c>
      <c r="AC163" s="273">
        <v>0.5938037514792147</v>
      </c>
      <c r="AD163" s="273">
        <v>160</v>
      </c>
      <c r="AE163" s="273">
        <v>10</v>
      </c>
      <c r="AF163" s="273">
        <v>6</v>
      </c>
      <c r="AG163" s="273">
        <v>0</v>
      </c>
      <c r="AH163" s="273">
        <v>176</v>
      </c>
      <c r="AI163" s="273">
        <v>1.605990362519361</v>
      </c>
      <c r="AJ163" s="273">
        <v>967</v>
      </c>
      <c r="AK163" s="273">
        <v>72</v>
      </c>
      <c r="AL163" s="273">
        <v>0.7877752331373744</v>
      </c>
      <c r="AM163" s="273">
        <v>1.26469063176333</v>
      </c>
      <c r="AN163" s="273">
        <v>0</v>
      </c>
      <c r="AO163" s="273">
        <v>0</v>
      </c>
      <c r="AP163" s="273">
        <f t="shared" si="1"/>
        <v>0</v>
      </c>
      <c r="AQ163" s="273">
        <v>82427.22236314509</v>
      </c>
      <c r="AR163" s="273">
        <v>1723840.0143493663</v>
      </c>
      <c r="AS163" s="273">
        <v>1</v>
      </c>
      <c r="AT163" s="273">
        <v>2179</v>
      </c>
      <c r="AU163" s="273">
        <v>0</v>
      </c>
      <c r="AV163" s="273">
        <v>0</v>
      </c>
      <c r="AW163" s="273">
        <v>0</v>
      </c>
      <c r="AX163" s="273">
        <v>0.45276666666666665</v>
      </c>
      <c r="AY163" s="273">
        <v>357.11</v>
      </c>
      <c r="AZ163" s="273">
        <v>6.101761362045308</v>
      </c>
      <c r="BA163" s="273">
        <v>742</v>
      </c>
      <c r="BB163" s="273">
        <v>0.3405231757687012</v>
      </c>
      <c r="BC163" s="273">
        <v>0</v>
      </c>
      <c r="BD163" s="273">
        <v>0</v>
      </c>
      <c r="BE163" s="273">
        <v>2223</v>
      </c>
      <c r="BF163" s="273">
        <v>2179</v>
      </c>
      <c r="BG163" s="273">
        <v>-0.01979307242465137</v>
      </c>
      <c r="BH163" s="273">
        <v>0</v>
      </c>
      <c r="BI163" s="273">
        <v>0</v>
      </c>
      <c r="BJ163" s="273">
        <v>0</v>
      </c>
      <c r="BK163" s="273">
        <v>478170.85430669074</v>
      </c>
      <c r="BL163" s="273">
        <v>7128.83</v>
      </c>
    </row>
    <row r="164" spans="6:64" s="273" customFormat="1" ht="12.75">
      <c r="F164" s="273">
        <v>256</v>
      </c>
      <c r="G164" s="273" t="s">
        <v>100</v>
      </c>
      <c r="H164" s="273">
        <v>130</v>
      </c>
      <c r="I164" s="273">
        <v>19</v>
      </c>
      <c r="J164" s="273">
        <v>125</v>
      </c>
      <c r="K164" s="273">
        <v>68</v>
      </c>
      <c r="L164" s="273">
        <v>1250</v>
      </c>
      <c r="M164" s="273">
        <v>219</v>
      </c>
      <c r="N164" s="273">
        <v>162</v>
      </c>
      <c r="O164" s="273">
        <v>55</v>
      </c>
      <c r="P164" s="273">
        <v>1816</v>
      </c>
      <c r="Q164" s="273">
        <v>0</v>
      </c>
      <c r="R164" s="273">
        <v>0</v>
      </c>
      <c r="S164" s="273">
        <v>460.23</v>
      </c>
      <c r="T164" s="273">
        <v>3.9458531603763336</v>
      </c>
      <c r="U164" s="273">
        <v>0</v>
      </c>
      <c r="V164" s="273">
        <v>0</v>
      </c>
      <c r="W164" s="273">
        <v>628</v>
      </c>
      <c r="X164" s="273">
        <v>152</v>
      </c>
      <c r="Y164" s="273">
        <v>1</v>
      </c>
      <c r="Z164" s="273">
        <v>0.7946095359170555</v>
      </c>
      <c r="AA164" s="273">
        <v>2</v>
      </c>
      <c r="AB164" s="273">
        <v>2</v>
      </c>
      <c r="AC164" s="273">
        <v>0.7124991048861283</v>
      </c>
      <c r="AD164" s="273">
        <v>135</v>
      </c>
      <c r="AE164" s="273">
        <v>19</v>
      </c>
      <c r="AF164" s="273">
        <v>2</v>
      </c>
      <c r="AG164" s="273">
        <v>0</v>
      </c>
      <c r="AH164" s="273">
        <v>156</v>
      </c>
      <c r="AI164" s="273">
        <v>1.7080329770381686</v>
      </c>
      <c r="AJ164" s="273">
        <v>723</v>
      </c>
      <c r="AK164" s="273">
        <v>94</v>
      </c>
      <c r="AL164" s="273">
        <v>1.3755800127117155</v>
      </c>
      <c r="AM164" s="273">
        <v>1.76917600705263</v>
      </c>
      <c r="AN164" s="273">
        <v>0.0800000000000001</v>
      </c>
      <c r="AO164" s="273">
        <v>0</v>
      </c>
      <c r="AP164" s="273">
        <f t="shared" si="1"/>
        <v>0.0800000000000001</v>
      </c>
      <c r="AQ164" s="273">
        <v>7985.68745491188</v>
      </c>
      <c r="AR164" s="273">
        <v>1819010.0521846141</v>
      </c>
      <c r="AS164" s="273">
        <v>1</v>
      </c>
      <c r="AT164" s="273">
        <v>1816</v>
      </c>
      <c r="AU164" s="273">
        <v>0</v>
      </c>
      <c r="AV164" s="273">
        <v>0</v>
      </c>
      <c r="AW164" s="273">
        <v>0</v>
      </c>
      <c r="AX164" s="273">
        <v>1.2447166666666667</v>
      </c>
      <c r="AY164" s="273">
        <v>460.23</v>
      </c>
      <c r="AZ164" s="273">
        <v>3.9458531603763336</v>
      </c>
      <c r="BA164" s="273">
        <v>969</v>
      </c>
      <c r="BB164" s="273">
        <v>0.5335903083700441</v>
      </c>
      <c r="BC164" s="273">
        <v>0</v>
      </c>
      <c r="BD164" s="273">
        <v>0</v>
      </c>
      <c r="BE164" s="273">
        <v>1852</v>
      </c>
      <c r="BF164" s="273">
        <v>1816</v>
      </c>
      <c r="BG164" s="273">
        <v>-0.019438444924406047</v>
      </c>
      <c r="BH164" s="273">
        <v>0</v>
      </c>
      <c r="BI164" s="273">
        <v>0</v>
      </c>
      <c r="BJ164" s="273">
        <v>0</v>
      </c>
      <c r="BK164" s="273">
        <v>494751.140136129</v>
      </c>
      <c r="BL164" s="273">
        <v>7430.35</v>
      </c>
    </row>
    <row r="165" spans="6:64" s="273" customFormat="1" ht="12.75">
      <c r="F165" s="273">
        <v>257</v>
      </c>
      <c r="G165" s="273" t="s">
        <v>101</v>
      </c>
      <c r="H165" s="273">
        <v>4014</v>
      </c>
      <c r="I165" s="273">
        <v>589</v>
      </c>
      <c r="J165" s="273">
        <v>3383</v>
      </c>
      <c r="K165" s="273">
        <v>1631</v>
      </c>
      <c r="L165" s="273">
        <v>28896</v>
      </c>
      <c r="M165" s="273">
        <v>2804</v>
      </c>
      <c r="N165" s="273">
        <v>1160</v>
      </c>
      <c r="O165" s="273">
        <v>318</v>
      </c>
      <c r="P165" s="273">
        <v>37192</v>
      </c>
      <c r="Q165" s="273">
        <v>998</v>
      </c>
      <c r="R165" s="273">
        <v>158</v>
      </c>
      <c r="S165" s="273">
        <v>366.16</v>
      </c>
      <c r="T165" s="273">
        <v>101.573082805331</v>
      </c>
      <c r="U165" s="273">
        <v>0</v>
      </c>
      <c r="V165" s="273">
        <v>1</v>
      </c>
      <c r="W165" s="273">
        <v>17700</v>
      </c>
      <c r="X165" s="273">
        <v>159</v>
      </c>
      <c r="Y165" s="273">
        <v>151</v>
      </c>
      <c r="Z165" s="273">
        <v>1.0321578558414854</v>
      </c>
      <c r="AA165" s="273">
        <v>52</v>
      </c>
      <c r="AB165" s="273">
        <v>52</v>
      </c>
      <c r="AC165" s="273">
        <v>0.9045320965880682</v>
      </c>
      <c r="AD165" s="273">
        <v>708</v>
      </c>
      <c r="AE165" s="273">
        <v>237</v>
      </c>
      <c r="AF165" s="273">
        <v>50</v>
      </c>
      <c r="AG165" s="273">
        <v>9</v>
      </c>
      <c r="AH165" s="273">
        <v>1004</v>
      </c>
      <c r="AI165" s="273">
        <v>0.5367495349576349</v>
      </c>
      <c r="AJ165" s="273">
        <v>19082</v>
      </c>
      <c r="AK165" s="273">
        <v>1104</v>
      </c>
      <c r="AL165" s="273">
        <v>0.6121269245085541</v>
      </c>
      <c r="AM165" s="273">
        <v>0.589315164650163</v>
      </c>
      <c r="AN165" s="273">
        <v>0</v>
      </c>
      <c r="AO165" s="273">
        <v>0</v>
      </c>
      <c r="AP165" s="273">
        <f t="shared" si="1"/>
        <v>0</v>
      </c>
      <c r="AQ165" s="273">
        <v>-115756.35312727839</v>
      </c>
      <c r="AR165" s="273">
        <v>-15097182.291404258</v>
      </c>
      <c r="AS165" s="273">
        <v>1</v>
      </c>
      <c r="AT165" s="273">
        <v>37192</v>
      </c>
      <c r="AU165" s="273">
        <v>0</v>
      </c>
      <c r="AV165" s="273">
        <v>0</v>
      </c>
      <c r="AW165" s="273">
        <v>0</v>
      </c>
      <c r="AX165" s="273">
        <v>0</v>
      </c>
      <c r="AY165" s="273">
        <v>366.16</v>
      </c>
      <c r="AZ165" s="273">
        <v>101.573082805331</v>
      </c>
      <c r="BA165" s="273">
        <v>32384</v>
      </c>
      <c r="BB165" s="273">
        <v>0.8707248870724887</v>
      </c>
      <c r="BC165" s="273">
        <v>1</v>
      </c>
      <c r="BD165" s="273">
        <v>0</v>
      </c>
      <c r="BE165" s="273">
        <v>35981</v>
      </c>
      <c r="BF165" s="273">
        <v>37192</v>
      </c>
      <c r="BG165" s="273">
        <v>0.033656652121953255</v>
      </c>
      <c r="BH165" s="273">
        <v>0</v>
      </c>
      <c r="BI165" s="273">
        <v>5</v>
      </c>
      <c r="BJ165" s="273">
        <v>0.00013443751344375136</v>
      </c>
      <c r="BK165" s="273">
        <v>4187015.331994284</v>
      </c>
      <c r="BL165" s="273">
        <v>6302.36</v>
      </c>
    </row>
    <row r="166" spans="6:64" s="273" customFormat="1" ht="12.75">
      <c r="F166" s="273">
        <v>260</v>
      </c>
      <c r="G166" s="273" t="s">
        <v>102</v>
      </c>
      <c r="H166" s="273">
        <v>602</v>
      </c>
      <c r="I166" s="273">
        <v>79</v>
      </c>
      <c r="J166" s="273">
        <v>653</v>
      </c>
      <c r="K166" s="273">
        <v>378</v>
      </c>
      <c r="L166" s="273">
        <v>7940</v>
      </c>
      <c r="M166" s="273">
        <v>1556</v>
      </c>
      <c r="N166" s="273">
        <v>1060</v>
      </c>
      <c r="O166" s="273">
        <v>357</v>
      </c>
      <c r="P166" s="273">
        <v>11515</v>
      </c>
      <c r="Q166" s="273">
        <v>0</v>
      </c>
      <c r="R166" s="273">
        <v>34</v>
      </c>
      <c r="S166" s="273">
        <v>1253.58</v>
      </c>
      <c r="T166" s="273">
        <v>9.185692177603345</v>
      </c>
      <c r="U166" s="273">
        <v>1</v>
      </c>
      <c r="V166" s="273">
        <v>0</v>
      </c>
      <c r="W166" s="273">
        <v>4218</v>
      </c>
      <c r="X166" s="273">
        <v>574</v>
      </c>
      <c r="Y166" s="273">
        <v>87</v>
      </c>
      <c r="Z166" s="273">
        <v>0.8859252840674677</v>
      </c>
      <c r="AA166" s="273">
        <v>9</v>
      </c>
      <c r="AB166" s="273">
        <v>9</v>
      </c>
      <c r="AC166" s="273">
        <v>0.5056485180312149</v>
      </c>
      <c r="AD166" s="273">
        <v>801</v>
      </c>
      <c r="AE166" s="273">
        <v>40</v>
      </c>
      <c r="AF166" s="273">
        <v>14</v>
      </c>
      <c r="AG166" s="273">
        <v>9</v>
      </c>
      <c r="AH166" s="273">
        <v>864</v>
      </c>
      <c r="AI166" s="273">
        <v>1.4918916985450057</v>
      </c>
      <c r="AJ166" s="273">
        <v>5092</v>
      </c>
      <c r="AK166" s="273">
        <v>650</v>
      </c>
      <c r="AL166" s="273">
        <v>1.3505829481662321</v>
      </c>
      <c r="AM166" s="273">
        <v>1.288367275098439</v>
      </c>
      <c r="AN166" s="273">
        <v>0.05</v>
      </c>
      <c r="AO166" s="273">
        <v>0</v>
      </c>
      <c r="AP166" s="273">
        <f t="shared" si="1"/>
        <v>0.05</v>
      </c>
      <c r="AQ166" s="273">
        <v>-56715.47882780805</v>
      </c>
      <c r="AR166" s="273">
        <v>7362158.231129585</v>
      </c>
      <c r="AS166" s="273">
        <v>1</v>
      </c>
      <c r="AT166" s="273">
        <v>11515</v>
      </c>
      <c r="AU166" s="273">
        <v>1</v>
      </c>
      <c r="AV166" s="273">
        <v>194</v>
      </c>
      <c r="AW166" s="273">
        <v>0.016847590099869737</v>
      </c>
      <c r="AX166" s="273">
        <v>0.5443666666666667</v>
      </c>
      <c r="AY166" s="273">
        <v>1253.58</v>
      </c>
      <c r="AZ166" s="273">
        <v>9.185692177603345</v>
      </c>
      <c r="BA166" s="273">
        <v>6265</v>
      </c>
      <c r="BB166" s="273">
        <v>0.5440729483282675</v>
      </c>
      <c r="BC166" s="273">
        <v>0</v>
      </c>
      <c r="BD166" s="273">
        <v>0</v>
      </c>
      <c r="BE166" s="273">
        <v>12010</v>
      </c>
      <c r="BF166" s="273">
        <v>11515</v>
      </c>
      <c r="BG166" s="273">
        <v>-0.04121565362198168</v>
      </c>
      <c r="BH166" s="273">
        <v>0</v>
      </c>
      <c r="BI166" s="273">
        <v>2</v>
      </c>
      <c r="BJ166" s="273">
        <v>0.00017368649587494572</v>
      </c>
      <c r="BK166" s="273">
        <v>2944164.372435537</v>
      </c>
      <c r="BL166" s="273">
        <v>6884.71</v>
      </c>
    </row>
    <row r="167" spans="6:64" s="273" customFormat="1" ht="12.75">
      <c r="F167" s="273">
        <v>261</v>
      </c>
      <c r="G167" s="273" t="s">
        <v>103</v>
      </c>
      <c r="H167" s="273">
        <v>464</v>
      </c>
      <c r="I167" s="273">
        <v>65</v>
      </c>
      <c r="J167" s="273">
        <v>379</v>
      </c>
      <c r="K167" s="273">
        <v>219</v>
      </c>
      <c r="L167" s="273">
        <v>4679</v>
      </c>
      <c r="M167" s="273">
        <v>586</v>
      </c>
      <c r="N167" s="273">
        <v>429</v>
      </c>
      <c r="O167" s="273">
        <v>121</v>
      </c>
      <c r="P167" s="273">
        <v>6279</v>
      </c>
      <c r="Q167" s="273">
        <v>3</v>
      </c>
      <c r="R167" s="273">
        <v>10</v>
      </c>
      <c r="S167" s="273">
        <v>8094.08</v>
      </c>
      <c r="T167" s="273">
        <v>0.7757521546611845</v>
      </c>
      <c r="U167" s="273">
        <v>0</v>
      </c>
      <c r="V167" s="273">
        <v>0</v>
      </c>
      <c r="W167" s="273">
        <v>2677</v>
      </c>
      <c r="X167" s="273">
        <v>167</v>
      </c>
      <c r="Y167" s="273">
        <v>113</v>
      </c>
      <c r="Z167" s="273">
        <v>0.9406747129886308</v>
      </c>
      <c r="AA167" s="273">
        <v>4</v>
      </c>
      <c r="AB167" s="273">
        <v>2</v>
      </c>
      <c r="AC167" s="273">
        <v>0.20606758631521083</v>
      </c>
      <c r="AD167" s="273">
        <v>363</v>
      </c>
      <c r="AE167" s="273">
        <v>29</v>
      </c>
      <c r="AF167" s="273">
        <v>5</v>
      </c>
      <c r="AG167" s="273">
        <v>3</v>
      </c>
      <c r="AH167" s="273">
        <v>400</v>
      </c>
      <c r="AI167" s="273">
        <v>1.2666511024952176</v>
      </c>
      <c r="AJ167" s="273">
        <v>2970</v>
      </c>
      <c r="AK167" s="273">
        <v>324</v>
      </c>
      <c r="AL167" s="273">
        <v>1.154210076430062</v>
      </c>
      <c r="AM167" s="273">
        <v>0.975949718582982</v>
      </c>
      <c r="AN167" s="273">
        <v>0.17</v>
      </c>
      <c r="AO167" s="273">
        <v>0</v>
      </c>
      <c r="AP167" s="273">
        <f t="shared" si="1"/>
        <v>0.17</v>
      </c>
      <c r="AQ167" s="273">
        <v>194464.53024873324</v>
      </c>
      <c r="AR167" s="273">
        <v>1486675.5548052625</v>
      </c>
      <c r="AS167" s="273">
        <v>1</v>
      </c>
      <c r="AT167" s="273">
        <v>6279</v>
      </c>
      <c r="AU167" s="273">
        <v>0</v>
      </c>
      <c r="AV167" s="273">
        <v>0</v>
      </c>
      <c r="AW167" s="273">
        <v>0</v>
      </c>
      <c r="AX167" s="273">
        <v>1.5721666666666667</v>
      </c>
      <c r="AY167" s="273">
        <v>8094.08</v>
      </c>
      <c r="AZ167" s="273">
        <v>0.7757521546611845</v>
      </c>
      <c r="BA167" s="273">
        <v>3289</v>
      </c>
      <c r="BB167" s="273">
        <v>0.5238095238095238</v>
      </c>
      <c r="BC167" s="273">
        <v>0</v>
      </c>
      <c r="BD167" s="273">
        <v>0</v>
      </c>
      <c r="BE167" s="273">
        <v>6039</v>
      </c>
      <c r="BF167" s="273">
        <v>6279</v>
      </c>
      <c r="BG167" s="273">
        <v>0.03974167908594138</v>
      </c>
      <c r="BH167" s="273">
        <v>0</v>
      </c>
      <c r="BI167" s="273">
        <v>8</v>
      </c>
      <c r="BJ167" s="273">
        <v>0.0012740882306099697</v>
      </c>
      <c r="BK167" s="273">
        <v>1229036.5470774272</v>
      </c>
      <c r="BL167" s="273">
        <v>8982.96</v>
      </c>
    </row>
    <row r="168" spans="6:64" s="273" customFormat="1" ht="12.75">
      <c r="F168" s="273">
        <v>263</v>
      </c>
      <c r="G168" s="273" t="s">
        <v>104</v>
      </c>
      <c r="H168" s="273">
        <v>598</v>
      </c>
      <c r="I168" s="273">
        <v>92</v>
      </c>
      <c r="J168" s="273">
        <v>564</v>
      </c>
      <c r="K168" s="273">
        <v>333</v>
      </c>
      <c r="L168" s="273">
        <v>6228</v>
      </c>
      <c r="M168" s="273">
        <v>1049</v>
      </c>
      <c r="N168" s="273">
        <v>830</v>
      </c>
      <c r="O168" s="273">
        <v>358</v>
      </c>
      <c r="P168" s="273">
        <v>9063</v>
      </c>
      <c r="Q168" s="273">
        <v>0</v>
      </c>
      <c r="R168" s="273">
        <v>4</v>
      </c>
      <c r="S168" s="273">
        <v>1328.15</v>
      </c>
      <c r="T168" s="273">
        <v>6.823777434777698</v>
      </c>
      <c r="U168" s="273">
        <v>0</v>
      </c>
      <c r="V168" s="273">
        <v>0</v>
      </c>
      <c r="W168" s="273">
        <v>3169</v>
      </c>
      <c r="X168" s="273">
        <v>756</v>
      </c>
      <c r="Y168" s="273">
        <v>54</v>
      </c>
      <c r="Z168" s="273">
        <v>0.7820337720372648</v>
      </c>
      <c r="AA168" s="273">
        <v>8</v>
      </c>
      <c r="AB168" s="273">
        <v>8</v>
      </c>
      <c r="AC168" s="273">
        <v>0.5710684649556257</v>
      </c>
      <c r="AD168" s="273">
        <v>706</v>
      </c>
      <c r="AE168" s="273">
        <v>43</v>
      </c>
      <c r="AF168" s="273">
        <v>14</v>
      </c>
      <c r="AG168" s="273">
        <v>5</v>
      </c>
      <c r="AH168" s="273">
        <v>768</v>
      </c>
      <c r="AI168" s="273">
        <v>1.6849101140162803</v>
      </c>
      <c r="AJ168" s="273">
        <v>3763</v>
      </c>
      <c r="AK168" s="273">
        <v>438</v>
      </c>
      <c r="AL168" s="273">
        <v>1.231505037700425</v>
      </c>
      <c r="AM168" s="273">
        <v>1.72486666190891</v>
      </c>
      <c r="AN168" s="273">
        <v>0</v>
      </c>
      <c r="AO168" s="273">
        <v>0</v>
      </c>
      <c r="AP168" s="273">
        <f t="shared" si="1"/>
        <v>0</v>
      </c>
      <c r="AQ168" s="273">
        <v>168045.4978406094</v>
      </c>
      <c r="AR168" s="273">
        <v>7244960.75096202</v>
      </c>
      <c r="AS168" s="273">
        <v>1</v>
      </c>
      <c r="AT168" s="273">
        <v>9063</v>
      </c>
      <c r="AU168" s="273">
        <v>0</v>
      </c>
      <c r="AV168" s="273">
        <v>0</v>
      </c>
      <c r="AW168" s="273">
        <v>0</v>
      </c>
      <c r="AX168" s="273">
        <v>0.22366666666666668</v>
      </c>
      <c r="AY168" s="273">
        <v>1328.15</v>
      </c>
      <c r="AZ168" s="273">
        <v>6.823777434777698</v>
      </c>
      <c r="BA168" s="273">
        <v>4561</v>
      </c>
      <c r="BB168" s="273">
        <v>0.5032549928279819</v>
      </c>
      <c r="BC168" s="273">
        <v>0</v>
      </c>
      <c r="BD168" s="273">
        <v>0</v>
      </c>
      <c r="BE168" s="273">
        <v>9400</v>
      </c>
      <c r="BF168" s="273">
        <v>9063</v>
      </c>
      <c r="BG168" s="273">
        <v>-0.035851063829787234</v>
      </c>
      <c r="BH168" s="273">
        <v>0</v>
      </c>
      <c r="BI168" s="273">
        <v>0</v>
      </c>
      <c r="BJ168" s="273">
        <v>0</v>
      </c>
      <c r="BK168" s="273">
        <v>2112602.3444624892</v>
      </c>
      <c r="BL168" s="273">
        <v>7047.87</v>
      </c>
    </row>
    <row r="169" spans="6:64" s="273" customFormat="1" ht="12.75">
      <c r="F169" s="273">
        <v>265</v>
      </c>
      <c r="G169" s="273" t="s">
        <v>105</v>
      </c>
      <c r="H169" s="273">
        <v>88</v>
      </c>
      <c r="I169" s="273">
        <v>14</v>
      </c>
      <c r="J169" s="273">
        <v>73</v>
      </c>
      <c r="K169" s="273">
        <v>54</v>
      </c>
      <c r="L169" s="273">
        <v>832</v>
      </c>
      <c r="M169" s="273">
        <v>230</v>
      </c>
      <c r="N169" s="273">
        <v>148</v>
      </c>
      <c r="O169" s="273">
        <v>36</v>
      </c>
      <c r="P169" s="273">
        <v>1334</v>
      </c>
      <c r="Q169" s="273">
        <v>0</v>
      </c>
      <c r="R169" s="273">
        <v>1</v>
      </c>
      <c r="S169" s="273">
        <v>483.94</v>
      </c>
      <c r="T169" s="273">
        <v>2.7565400669504485</v>
      </c>
      <c r="U169" s="273">
        <v>1</v>
      </c>
      <c r="V169" s="273">
        <v>0</v>
      </c>
      <c r="W169" s="273">
        <v>374</v>
      </c>
      <c r="X169" s="273">
        <v>87</v>
      </c>
      <c r="Y169" s="273">
        <v>7</v>
      </c>
      <c r="Z169" s="273">
        <v>0.786513598624571</v>
      </c>
      <c r="AA169" s="273">
        <v>6</v>
      </c>
      <c r="AB169" s="273">
        <v>6</v>
      </c>
      <c r="AC169" s="273">
        <v>2.909816434347546</v>
      </c>
      <c r="AD169" s="273">
        <v>102</v>
      </c>
      <c r="AE169" s="273">
        <v>9</v>
      </c>
      <c r="AF169" s="273">
        <v>2</v>
      </c>
      <c r="AG169" s="273">
        <v>0</v>
      </c>
      <c r="AH169" s="273">
        <v>113</v>
      </c>
      <c r="AI169" s="273">
        <v>1.6842637871066797</v>
      </c>
      <c r="AJ169" s="273">
        <v>454</v>
      </c>
      <c r="AK169" s="273">
        <v>50</v>
      </c>
      <c r="AL169" s="273">
        <v>1.1652267658526692</v>
      </c>
      <c r="AM169" s="273">
        <v>2.03322165826272</v>
      </c>
      <c r="AN169" s="273">
        <v>0.0800000000000001</v>
      </c>
      <c r="AO169" s="273">
        <v>0</v>
      </c>
      <c r="AP169" s="273">
        <f t="shared" si="1"/>
        <v>0.0800000000000001</v>
      </c>
      <c r="AQ169" s="273">
        <v>8762.558215379715</v>
      </c>
      <c r="AR169" s="273">
        <v>1316503.2774615376</v>
      </c>
      <c r="AS169" s="273">
        <v>0</v>
      </c>
      <c r="AT169" s="273">
        <v>1334</v>
      </c>
      <c r="AU169" s="273">
        <v>1</v>
      </c>
      <c r="AV169" s="273">
        <v>112</v>
      </c>
      <c r="AW169" s="273">
        <v>0.08395802098950525</v>
      </c>
      <c r="AX169" s="273">
        <v>1.1136333333333335</v>
      </c>
      <c r="AY169" s="273">
        <v>483.94</v>
      </c>
      <c r="AZ169" s="273">
        <v>2.7565400669504485</v>
      </c>
      <c r="BA169" s="273">
        <v>685</v>
      </c>
      <c r="BB169" s="273">
        <v>0.5134932533733133</v>
      </c>
      <c r="BC169" s="273">
        <v>0</v>
      </c>
      <c r="BD169" s="273">
        <v>0</v>
      </c>
      <c r="BE169" s="273">
        <v>1363</v>
      </c>
      <c r="BF169" s="273">
        <v>1334</v>
      </c>
      <c r="BG169" s="273">
        <v>-0.02127659574468085</v>
      </c>
      <c r="BH169" s="273">
        <v>0</v>
      </c>
      <c r="BI169" s="273">
        <v>0</v>
      </c>
      <c r="BJ169" s="273">
        <v>0</v>
      </c>
      <c r="BK169" s="273">
        <v>334716.7174597726</v>
      </c>
      <c r="BL169" s="273">
        <v>7943.58</v>
      </c>
    </row>
    <row r="170" spans="6:64" s="273" customFormat="1" ht="12.75">
      <c r="F170" s="273">
        <v>271</v>
      </c>
      <c r="G170" s="273" t="s">
        <v>106</v>
      </c>
      <c r="H170" s="273">
        <v>484</v>
      </c>
      <c r="I170" s="273">
        <v>70</v>
      </c>
      <c r="J170" s="273">
        <v>459</v>
      </c>
      <c r="K170" s="273">
        <v>269</v>
      </c>
      <c r="L170" s="273">
        <v>5456</v>
      </c>
      <c r="M170" s="273">
        <v>1030</v>
      </c>
      <c r="N170" s="273">
        <v>680</v>
      </c>
      <c r="O170" s="273">
        <v>272</v>
      </c>
      <c r="P170" s="273">
        <v>7922</v>
      </c>
      <c r="Q170" s="273">
        <v>1</v>
      </c>
      <c r="R170" s="273">
        <v>14</v>
      </c>
      <c r="S170" s="273">
        <v>481.23</v>
      </c>
      <c r="T170" s="273">
        <v>16.46198283565031</v>
      </c>
      <c r="U170" s="273">
        <v>0</v>
      </c>
      <c r="V170" s="273">
        <v>0</v>
      </c>
      <c r="W170" s="273">
        <v>3123</v>
      </c>
      <c r="X170" s="273">
        <v>270</v>
      </c>
      <c r="Y170" s="273">
        <v>29</v>
      </c>
      <c r="Z170" s="273">
        <v>0.9499757405206817</v>
      </c>
      <c r="AA170" s="273">
        <v>15</v>
      </c>
      <c r="AB170" s="273">
        <v>15</v>
      </c>
      <c r="AC170" s="273">
        <v>1.2249732149140453</v>
      </c>
      <c r="AD170" s="273">
        <v>488</v>
      </c>
      <c r="AE170" s="273">
        <v>50</v>
      </c>
      <c r="AF170" s="273">
        <v>23</v>
      </c>
      <c r="AG170" s="273">
        <v>8</v>
      </c>
      <c r="AH170" s="273">
        <v>569</v>
      </c>
      <c r="AI170" s="273">
        <v>1.4281207375318392</v>
      </c>
      <c r="AJ170" s="273">
        <v>3578</v>
      </c>
      <c r="AK170" s="273">
        <v>352</v>
      </c>
      <c r="AL170" s="273">
        <v>1.0408751201642445</v>
      </c>
      <c r="AM170" s="273">
        <v>1.1662453259681</v>
      </c>
      <c r="AN170" s="273">
        <v>0</v>
      </c>
      <c r="AO170" s="273">
        <v>0</v>
      </c>
      <c r="AP170" s="273">
        <f t="shared" si="1"/>
        <v>0</v>
      </c>
      <c r="AQ170" s="273">
        <v>-17435.946478638798</v>
      </c>
      <c r="AR170" s="273">
        <v>2600205.2058683545</v>
      </c>
      <c r="AS170" s="273">
        <v>1</v>
      </c>
      <c r="AT170" s="273">
        <v>7922</v>
      </c>
      <c r="AU170" s="273">
        <v>0</v>
      </c>
      <c r="AV170" s="273">
        <v>0</v>
      </c>
      <c r="AW170" s="273">
        <v>0</v>
      </c>
      <c r="AX170" s="273">
        <v>0</v>
      </c>
      <c r="AY170" s="273">
        <v>481.23</v>
      </c>
      <c r="AZ170" s="273">
        <v>16.46198283565031</v>
      </c>
      <c r="BA170" s="273">
        <v>4605</v>
      </c>
      <c r="BB170" s="273">
        <v>0.5812926028780611</v>
      </c>
      <c r="BC170" s="273">
        <v>0</v>
      </c>
      <c r="BD170" s="273">
        <v>0</v>
      </c>
      <c r="BE170" s="273">
        <v>8148</v>
      </c>
      <c r="BF170" s="273">
        <v>7922</v>
      </c>
      <c r="BG170" s="273">
        <v>-0.02773686794305351</v>
      </c>
      <c r="BH170" s="273">
        <v>0</v>
      </c>
      <c r="BI170" s="273">
        <v>0</v>
      </c>
      <c r="BJ170" s="273">
        <v>0</v>
      </c>
      <c r="BK170" s="273">
        <v>1527991.8498338435</v>
      </c>
      <c r="BL170" s="273">
        <v>6475.49</v>
      </c>
    </row>
    <row r="171" spans="6:64" s="273" customFormat="1" ht="12.75">
      <c r="F171" s="273">
        <v>272</v>
      </c>
      <c r="G171" s="273" t="s">
        <v>107</v>
      </c>
      <c r="H171" s="273">
        <v>4253</v>
      </c>
      <c r="I171" s="273">
        <v>577</v>
      </c>
      <c r="J171" s="273">
        <v>3330</v>
      </c>
      <c r="K171" s="273">
        <v>1721</v>
      </c>
      <c r="L171" s="273">
        <v>34077</v>
      </c>
      <c r="M171" s="273">
        <v>4552</v>
      </c>
      <c r="N171" s="273">
        <v>2690</v>
      </c>
      <c r="O171" s="273">
        <v>1013</v>
      </c>
      <c r="P171" s="273">
        <v>46585</v>
      </c>
      <c r="Q171" s="273">
        <v>789</v>
      </c>
      <c r="R171" s="273">
        <v>130</v>
      </c>
      <c r="S171" s="273">
        <v>1444.2</v>
      </c>
      <c r="T171" s="273">
        <v>32.25661265752666</v>
      </c>
      <c r="U171" s="273">
        <v>0</v>
      </c>
      <c r="V171" s="273">
        <v>1</v>
      </c>
      <c r="W171" s="273">
        <v>19021</v>
      </c>
      <c r="X171" s="273">
        <v>872</v>
      </c>
      <c r="Y171" s="273">
        <v>181</v>
      </c>
      <c r="Z171" s="273">
        <v>0.9923987305745291</v>
      </c>
      <c r="AA171" s="273">
        <v>75</v>
      </c>
      <c r="AB171" s="273">
        <v>75</v>
      </c>
      <c r="AC171" s="273">
        <v>1.0415624995759436</v>
      </c>
      <c r="AD171" s="273">
        <v>2376</v>
      </c>
      <c r="AE171" s="273">
        <v>434</v>
      </c>
      <c r="AF171" s="273">
        <v>132</v>
      </c>
      <c r="AG171" s="273">
        <v>3</v>
      </c>
      <c r="AH171" s="273">
        <v>2945</v>
      </c>
      <c r="AI171" s="273">
        <v>1.2569751632881403</v>
      </c>
      <c r="AJ171" s="273">
        <v>21374</v>
      </c>
      <c r="AK171" s="273">
        <v>1768</v>
      </c>
      <c r="AL171" s="273">
        <v>0.8751706733419048</v>
      </c>
      <c r="AM171" s="273">
        <v>1.0632272680178</v>
      </c>
      <c r="AN171" s="273">
        <v>0</v>
      </c>
      <c r="AO171" s="273">
        <v>0</v>
      </c>
      <c r="AP171" s="273">
        <f t="shared" si="1"/>
        <v>0</v>
      </c>
      <c r="AQ171" s="273">
        <v>193897.22869046032</v>
      </c>
      <c r="AR171" s="273">
        <v>332510.6935594731</v>
      </c>
      <c r="AS171" s="273">
        <v>1</v>
      </c>
      <c r="AT171" s="273">
        <v>46585</v>
      </c>
      <c r="AU171" s="273">
        <v>0</v>
      </c>
      <c r="AV171" s="273">
        <v>0</v>
      </c>
      <c r="AW171" s="273">
        <v>0</v>
      </c>
      <c r="AX171" s="273">
        <v>0</v>
      </c>
      <c r="AY171" s="273">
        <v>1444.2</v>
      </c>
      <c r="AZ171" s="273">
        <v>32.25661265752666</v>
      </c>
      <c r="BA171" s="273">
        <v>39944</v>
      </c>
      <c r="BB171" s="273">
        <v>0.8574433830632178</v>
      </c>
      <c r="BC171" s="273">
        <v>1</v>
      </c>
      <c r="BD171" s="273">
        <v>0</v>
      </c>
      <c r="BE171" s="273">
        <v>45644</v>
      </c>
      <c r="BF171" s="273">
        <v>46585</v>
      </c>
      <c r="BG171" s="273">
        <v>0.02061607221102445</v>
      </c>
      <c r="BH171" s="273">
        <v>0</v>
      </c>
      <c r="BI171" s="273">
        <v>0</v>
      </c>
      <c r="BJ171" s="273">
        <v>0</v>
      </c>
      <c r="BK171" s="273">
        <v>8764804.64768251</v>
      </c>
      <c r="BL171" s="273">
        <v>6411.09</v>
      </c>
    </row>
    <row r="172" spans="6:64" s="273" customFormat="1" ht="12.75">
      <c r="F172" s="273">
        <v>273</v>
      </c>
      <c r="G172" s="273" t="s">
        <v>108</v>
      </c>
      <c r="H172" s="273">
        <v>251</v>
      </c>
      <c r="I172" s="273">
        <v>29</v>
      </c>
      <c r="J172" s="273">
        <v>172</v>
      </c>
      <c r="K172" s="273">
        <v>94</v>
      </c>
      <c r="L172" s="273">
        <v>2755</v>
      </c>
      <c r="M172" s="273">
        <v>477</v>
      </c>
      <c r="N172" s="273">
        <v>296</v>
      </c>
      <c r="O172" s="273">
        <v>57</v>
      </c>
      <c r="P172" s="273">
        <v>3836</v>
      </c>
      <c r="Q172" s="273">
        <v>3</v>
      </c>
      <c r="R172" s="273">
        <v>6</v>
      </c>
      <c r="S172" s="273">
        <v>2558.8</v>
      </c>
      <c r="T172" s="273">
        <v>1.4991402219790526</v>
      </c>
      <c r="U172" s="273">
        <v>0</v>
      </c>
      <c r="V172" s="273">
        <v>0</v>
      </c>
      <c r="W172" s="273">
        <v>1569</v>
      </c>
      <c r="X172" s="273">
        <v>105</v>
      </c>
      <c r="Y172" s="273">
        <v>53</v>
      </c>
      <c r="Z172" s="273">
        <v>0.9447651761462416</v>
      </c>
      <c r="AA172" s="273">
        <v>3</v>
      </c>
      <c r="AB172" s="273">
        <v>2</v>
      </c>
      <c r="AC172" s="273">
        <v>0.33730406008164987</v>
      </c>
      <c r="AD172" s="273">
        <v>223</v>
      </c>
      <c r="AE172" s="273">
        <v>22</v>
      </c>
      <c r="AF172" s="273">
        <v>9</v>
      </c>
      <c r="AG172" s="273">
        <v>2</v>
      </c>
      <c r="AH172" s="273">
        <v>256</v>
      </c>
      <c r="AI172" s="273">
        <v>1.3269326002198079</v>
      </c>
      <c r="AJ172" s="273">
        <v>1820</v>
      </c>
      <c r="AK172" s="273">
        <v>287</v>
      </c>
      <c r="AL172" s="273">
        <v>1.6684254630447373</v>
      </c>
      <c r="AM172" s="273">
        <v>1.2254700593269</v>
      </c>
      <c r="AN172" s="273">
        <v>0.17</v>
      </c>
      <c r="AO172" s="273">
        <v>0</v>
      </c>
      <c r="AP172" s="273">
        <f t="shared" si="1"/>
        <v>0.17</v>
      </c>
      <c r="AQ172" s="273">
        <v>159790.83063413762</v>
      </c>
      <c r="AR172" s="273">
        <v>2088065.026349997</v>
      </c>
      <c r="AS172" s="273">
        <v>1</v>
      </c>
      <c r="AT172" s="273">
        <v>3836</v>
      </c>
      <c r="AU172" s="273">
        <v>0</v>
      </c>
      <c r="AV172" s="273">
        <v>0</v>
      </c>
      <c r="AW172" s="273">
        <v>0</v>
      </c>
      <c r="AX172" s="273">
        <v>1.7130166666666666</v>
      </c>
      <c r="AY172" s="273">
        <v>2558.8</v>
      </c>
      <c r="AZ172" s="273">
        <v>1.4991402219790526</v>
      </c>
      <c r="BA172" s="273">
        <v>1876</v>
      </c>
      <c r="BB172" s="273">
        <v>0.48905109489051096</v>
      </c>
      <c r="BC172" s="273">
        <v>0</v>
      </c>
      <c r="BD172" s="273">
        <v>0</v>
      </c>
      <c r="BE172" s="273">
        <v>3860</v>
      </c>
      <c r="BF172" s="273">
        <v>3836</v>
      </c>
      <c r="BG172" s="273">
        <v>-0.0062176165803108805</v>
      </c>
      <c r="BH172" s="273">
        <v>0</v>
      </c>
      <c r="BI172" s="273">
        <v>2</v>
      </c>
      <c r="BJ172" s="273">
        <v>0.0005213764337851929</v>
      </c>
      <c r="BK172" s="273">
        <v>762501.8972028737</v>
      </c>
      <c r="BL172" s="273">
        <v>8483.24</v>
      </c>
    </row>
    <row r="173" spans="6:64" s="273" customFormat="1" ht="12.75">
      <c r="F173" s="273">
        <v>275</v>
      </c>
      <c r="G173" s="273" t="s">
        <v>109</v>
      </c>
      <c r="H173" s="273">
        <v>182</v>
      </c>
      <c r="I173" s="273">
        <v>31</v>
      </c>
      <c r="J173" s="273">
        <v>172</v>
      </c>
      <c r="K173" s="273">
        <v>100</v>
      </c>
      <c r="L173" s="273">
        <v>1970</v>
      </c>
      <c r="M173" s="273">
        <v>367</v>
      </c>
      <c r="N173" s="273">
        <v>314</v>
      </c>
      <c r="O173" s="273">
        <v>91</v>
      </c>
      <c r="P173" s="273">
        <v>2924</v>
      </c>
      <c r="Q173" s="273">
        <v>0</v>
      </c>
      <c r="R173" s="273">
        <v>4</v>
      </c>
      <c r="S173" s="273">
        <v>513.01</v>
      </c>
      <c r="T173" s="273">
        <v>5.699693963080642</v>
      </c>
      <c r="U173" s="273">
        <v>0</v>
      </c>
      <c r="V173" s="273">
        <v>0</v>
      </c>
      <c r="W173" s="273">
        <v>1077</v>
      </c>
      <c r="X173" s="273">
        <v>159</v>
      </c>
      <c r="Y173" s="273">
        <v>16</v>
      </c>
      <c r="Z173" s="273">
        <v>0.8798540571322515</v>
      </c>
      <c r="AA173" s="273">
        <v>4</v>
      </c>
      <c r="AB173" s="273">
        <v>2</v>
      </c>
      <c r="AC173" s="273">
        <v>0.44250970399220546</v>
      </c>
      <c r="AD173" s="273">
        <v>148</v>
      </c>
      <c r="AE173" s="273">
        <v>25</v>
      </c>
      <c r="AF173" s="273">
        <v>3</v>
      </c>
      <c r="AG173" s="273">
        <v>0</v>
      </c>
      <c r="AH173" s="273">
        <v>176</v>
      </c>
      <c r="AI173" s="273">
        <v>1.1968033515491407</v>
      </c>
      <c r="AJ173" s="273">
        <v>1263</v>
      </c>
      <c r="AK173" s="273">
        <v>139</v>
      </c>
      <c r="AL173" s="273">
        <v>1.1644148897212754</v>
      </c>
      <c r="AM173" s="273">
        <v>1.25498878626119</v>
      </c>
      <c r="AN173" s="273">
        <v>0</v>
      </c>
      <c r="AO173" s="273">
        <v>0</v>
      </c>
      <c r="AP173" s="273">
        <f t="shared" si="1"/>
        <v>0</v>
      </c>
      <c r="AQ173" s="273">
        <v>212913.65034567937</v>
      </c>
      <c r="AR173" s="273">
        <v>2371650.6762769227</v>
      </c>
      <c r="AS173" s="273">
        <v>0</v>
      </c>
      <c r="AT173" s="273">
        <v>2924</v>
      </c>
      <c r="AU173" s="273">
        <v>0</v>
      </c>
      <c r="AV173" s="273">
        <v>0</v>
      </c>
      <c r="AW173" s="273">
        <v>0</v>
      </c>
      <c r="AX173" s="273">
        <v>0.17993333333333333</v>
      </c>
      <c r="AY173" s="273">
        <v>513.01</v>
      </c>
      <c r="AZ173" s="273">
        <v>5.699693963080642</v>
      </c>
      <c r="BA173" s="273">
        <v>1124</v>
      </c>
      <c r="BB173" s="273">
        <v>0.3844049247606019</v>
      </c>
      <c r="BC173" s="273">
        <v>0</v>
      </c>
      <c r="BD173" s="273">
        <v>0</v>
      </c>
      <c r="BE173" s="273">
        <v>2978</v>
      </c>
      <c r="BF173" s="273">
        <v>2924</v>
      </c>
      <c r="BG173" s="273">
        <v>-0.018132975151108125</v>
      </c>
      <c r="BH173" s="273">
        <v>0</v>
      </c>
      <c r="BI173" s="273">
        <v>0</v>
      </c>
      <c r="BJ173" s="273">
        <v>0</v>
      </c>
      <c r="BK173" s="273">
        <v>707608.875877955</v>
      </c>
      <c r="BL173" s="273">
        <v>7182.19</v>
      </c>
    </row>
    <row r="174" spans="6:64" s="273" customFormat="1" ht="12.75">
      <c r="F174" s="273">
        <v>276</v>
      </c>
      <c r="G174" s="273" t="s">
        <v>110</v>
      </c>
      <c r="H174" s="273">
        <v>1478</v>
      </c>
      <c r="I174" s="273">
        <v>229</v>
      </c>
      <c r="J174" s="273">
        <v>1324</v>
      </c>
      <c r="K174" s="273">
        <v>622</v>
      </c>
      <c r="L174" s="273">
        <v>10771</v>
      </c>
      <c r="M174" s="273">
        <v>1031</v>
      </c>
      <c r="N174" s="273">
        <v>553</v>
      </c>
      <c r="O174" s="273">
        <v>167</v>
      </c>
      <c r="P174" s="273">
        <v>14000</v>
      </c>
      <c r="Q174" s="273">
        <v>2</v>
      </c>
      <c r="R174" s="273">
        <v>55</v>
      </c>
      <c r="S174" s="273">
        <v>799.69</v>
      </c>
      <c r="T174" s="273">
        <v>17.506783878753016</v>
      </c>
      <c r="U174" s="273">
        <v>0</v>
      </c>
      <c r="V174" s="273">
        <v>0</v>
      </c>
      <c r="W174" s="273">
        <v>5900</v>
      </c>
      <c r="X174" s="273">
        <v>201</v>
      </c>
      <c r="Y174" s="273">
        <v>58</v>
      </c>
      <c r="Z174" s="273">
        <v>1.0044397581601758</v>
      </c>
      <c r="AA174" s="273">
        <v>12</v>
      </c>
      <c r="AB174" s="273">
        <v>12</v>
      </c>
      <c r="AC174" s="273">
        <v>0.5545278747742324</v>
      </c>
      <c r="AD174" s="273">
        <v>395</v>
      </c>
      <c r="AE174" s="273">
        <v>87</v>
      </c>
      <c r="AF174" s="273">
        <v>21</v>
      </c>
      <c r="AG174" s="273">
        <v>4</v>
      </c>
      <c r="AH174" s="273">
        <v>507</v>
      </c>
      <c r="AI174" s="273">
        <v>0.7200579021770908</v>
      </c>
      <c r="AJ174" s="273">
        <v>6713</v>
      </c>
      <c r="AK174" s="273">
        <v>635</v>
      </c>
      <c r="AL174" s="273">
        <v>1.0008140155747536</v>
      </c>
      <c r="AM174" s="273">
        <v>0.784792349770841</v>
      </c>
      <c r="AN174" s="273">
        <v>0</v>
      </c>
      <c r="AO174" s="273">
        <v>0</v>
      </c>
      <c r="AP174" s="273">
        <f t="shared" si="1"/>
        <v>0</v>
      </c>
      <c r="AQ174" s="273">
        <v>-31189.175071258098</v>
      </c>
      <c r="AR174" s="273">
        <v>4704199.435148048</v>
      </c>
      <c r="AS174" s="273">
        <v>1</v>
      </c>
      <c r="AT174" s="273">
        <v>14000</v>
      </c>
      <c r="AU174" s="273">
        <v>0</v>
      </c>
      <c r="AV174" s="273">
        <v>0</v>
      </c>
      <c r="AW174" s="273">
        <v>0</v>
      </c>
      <c r="AX174" s="273">
        <v>0</v>
      </c>
      <c r="AY174" s="273">
        <v>799.69</v>
      </c>
      <c r="AZ174" s="273">
        <v>17.506783878753016</v>
      </c>
      <c r="BA174" s="273">
        <v>9655</v>
      </c>
      <c r="BB174" s="273">
        <v>0.6896428571428571</v>
      </c>
      <c r="BC174" s="273">
        <v>0</v>
      </c>
      <c r="BD174" s="273">
        <v>0</v>
      </c>
      <c r="BE174" s="273">
        <v>13490</v>
      </c>
      <c r="BF174" s="273">
        <v>14000</v>
      </c>
      <c r="BG174" s="273">
        <v>0.03780578206078577</v>
      </c>
      <c r="BH174" s="273">
        <v>0</v>
      </c>
      <c r="BI174" s="273">
        <v>0</v>
      </c>
      <c r="BJ174" s="273">
        <v>0</v>
      </c>
      <c r="BK174" s="273">
        <v>2010336.3917483795</v>
      </c>
      <c r="BL174" s="273">
        <v>6444.15</v>
      </c>
    </row>
    <row r="175" spans="6:64" s="273" customFormat="1" ht="12.75">
      <c r="F175" s="273">
        <v>280</v>
      </c>
      <c r="G175" s="273" t="s">
        <v>111</v>
      </c>
      <c r="H175" s="273">
        <v>145</v>
      </c>
      <c r="I175" s="273">
        <v>16</v>
      </c>
      <c r="J175" s="273">
        <v>127</v>
      </c>
      <c r="K175" s="273">
        <v>81</v>
      </c>
      <c r="L175" s="273">
        <v>1537</v>
      </c>
      <c r="M175" s="273">
        <v>269</v>
      </c>
      <c r="N175" s="273">
        <v>164</v>
      </c>
      <c r="O175" s="273">
        <v>134</v>
      </c>
      <c r="P175" s="273">
        <v>2249</v>
      </c>
      <c r="Q175" s="273">
        <v>193</v>
      </c>
      <c r="R175" s="273">
        <v>28</v>
      </c>
      <c r="S175" s="273">
        <v>235.78</v>
      </c>
      <c r="T175" s="273">
        <v>9.53855288828569</v>
      </c>
      <c r="U175" s="273">
        <v>0</v>
      </c>
      <c r="V175" s="273">
        <v>2</v>
      </c>
      <c r="W175" s="273">
        <v>977</v>
      </c>
      <c r="X175" s="273">
        <v>229</v>
      </c>
      <c r="Y175" s="273">
        <v>10</v>
      </c>
      <c r="Z175" s="273">
        <v>0.7935633549625862</v>
      </c>
      <c r="AA175" s="273">
        <v>0</v>
      </c>
      <c r="AB175" s="273">
        <v>2</v>
      </c>
      <c r="AC175" s="273">
        <v>0.5753216427181898</v>
      </c>
      <c r="AD175" s="273">
        <v>118</v>
      </c>
      <c r="AE175" s="273">
        <v>9</v>
      </c>
      <c r="AF175" s="273">
        <v>5</v>
      </c>
      <c r="AG175" s="273">
        <v>0</v>
      </c>
      <c r="AH175" s="273">
        <v>132</v>
      </c>
      <c r="AI175" s="273">
        <v>1.1670030013104784</v>
      </c>
      <c r="AJ175" s="273">
        <v>1062</v>
      </c>
      <c r="AK175" s="273">
        <v>43</v>
      </c>
      <c r="AL175" s="273">
        <v>0.4283909025042525</v>
      </c>
      <c r="AM175" s="273">
        <v>1.05971129668002</v>
      </c>
      <c r="AN175" s="273">
        <v>0</v>
      </c>
      <c r="AO175" s="273">
        <v>0</v>
      </c>
      <c r="AP175" s="273">
        <f t="shared" si="1"/>
        <v>0</v>
      </c>
      <c r="AQ175" s="273">
        <v>307910.7989604967</v>
      </c>
      <c r="AR175" s="273">
        <v>1073589.075488606</v>
      </c>
      <c r="AS175" s="273">
        <v>1</v>
      </c>
      <c r="AT175" s="273">
        <v>2249</v>
      </c>
      <c r="AU175" s="273">
        <v>0</v>
      </c>
      <c r="AV175" s="273">
        <v>0</v>
      </c>
      <c r="AW175" s="273">
        <v>0</v>
      </c>
      <c r="AX175" s="273">
        <v>0.3258666666666667</v>
      </c>
      <c r="AY175" s="273">
        <v>235.78</v>
      </c>
      <c r="AZ175" s="273">
        <v>9.53855288828569</v>
      </c>
      <c r="BA175" s="273">
        <v>1448</v>
      </c>
      <c r="BB175" s="273">
        <v>0.6438417074255225</v>
      </c>
      <c r="BC175" s="273">
        <v>2</v>
      </c>
      <c r="BD175" s="273">
        <v>0</v>
      </c>
      <c r="BE175" s="273">
        <v>2219</v>
      </c>
      <c r="BF175" s="273">
        <v>2249</v>
      </c>
      <c r="BG175" s="273">
        <v>0.013519603424966201</v>
      </c>
      <c r="BH175" s="273">
        <v>0</v>
      </c>
      <c r="BI175" s="273">
        <v>0</v>
      </c>
      <c r="BJ175" s="273">
        <v>0</v>
      </c>
      <c r="BK175" s="273">
        <v>476465.4994620274</v>
      </c>
      <c r="BL175" s="273">
        <v>7671.89</v>
      </c>
    </row>
    <row r="176" spans="6:64" s="273" customFormat="1" ht="12.75">
      <c r="F176" s="273">
        <v>284</v>
      </c>
      <c r="G176" s="273" t="s">
        <v>112</v>
      </c>
      <c r="H176" s="273">
        <v>140</v>
      </c>
      <c r="I176" s="273">
        <v>16</v>
      </c>
      <c r="J176" s="273">
        <v>158</v>
      </c>
      <c r="K176" s="273">
        <v>82</v>
      </c>
      <c r="L176" s="273">
        <v>1638</v>
      </c>
      <c r="M176" s="273">
        <v>333</v>
      </c>
      <c r="N176" s="273">
        <v>231</v>
      </c>
      <c r="O176" s="273">
        <v>99</v>
      </c>
      <c r="P176" s="273">
        <v>2441</v>
      </c>
      <c r="Q176" s="273">
        <v>3</v>
      </c>
      <c r="R176" s="273">
        <v>10</v>
      </c>
      <c r="S176" s="273">
        <v>191.46</v>
      </c>
      <c r="T176" s="273">
        <v>12.749399352345137</v>
      </c>
      <c r="U176" s="273">
        <v>0</v>
      </c>
      <c r="V176" s="273">
        <v>0</v>
      </c>
      <c r="W176" s="273">
        <v>970</v>
      </c>
      <c r="X176" s="273">
        <v>192</v>
      </c>
      <c r="Y176" s="273">
        <v>12</v>
      </c>
      <c r="Z176" s="273">
        <v>0.8296154705020677</v>
      </c>
      <c r="AA176" s="273">
        <v>4</v>
      </c>
      <c r="AB176" s="273">
        <v>2</v>
      </c>
      <c r="AC176" s="273">
        <v>0.5300689776621094</v>
      </c>
      <c r="AD176" s="273">
        <v>145</v>
      </c>
      <c r="AE176" s="273">
        <v>16</v>
      </c>
      <c r="AF176" s="273">
        <v>4</v>
      </c>
      <c r="AG176" s="273">
        <v>3</v>
      </c>
      <c r="AH176" s="273">
        <v>168</v>
      </c>
      <c r="AI176" s="273">
        <v>1.3684502066687172</v>
      </c>
      <c r="AJ176" s="273">
        <v>1054</v>
      </c>
      <c r="AK176" s="273">
        <v>71</v>
      </c>
      <c r="AL176" s="273">
        <v>0.712711946309202</v>
      </c>
      <c r="AM176" s="273">
        <v>0.904501429524802</v>
      </c>
      <c r="AN176" s="273">
        <v>0</v>
      </c>
      <c r="AO176" s="273">
        <v>0</v>
      </c>
      <c r="AP176" s="273">
        <f t="shared" si="1"/>
        <v>0</v>
      </c>
      <c r="AQ176" s="273">
        <v>240131.28113703616</v>
      </c>
      <c r="AR176" s="273">
        <v>1669495.806031579</v>
      </c>
      <c r="AS176" s="273">
        <v>0</v>
      </c>
      <c r="AT176" s="273">
        <v>2441</v>
      </c>
      <c r="AU176" s="273">
        <v>0</v>
      </c>
      <c r="AV176" s="273">
        <v>0</v>
      </c>
      <c r="AW176" s="273">
        <v>0</v>
      </c>
      <c r="AX176" s="273">
        <v>0</v>
      </c>
      <c r="AY176" s="273">
        <v>191.46</v>
      </c>
      <c r="AZ176" s="273">
        <v>12.749399352345137</v>
      </c>
      <c r="BA176" s="273">
        <v>1287</v>
      </c>
      <c r="BB176" s="273">
        <v>0.5272429332240884</v>
      </c>
      <c r="BC176" s="273">
        <v>0</v>
      </c>
      <c r="BD176" s="273">
        <v>0</v>
      </c>
      <c r="BE176" s="273">
        <v>2470</v>
      </c>
      <c r="BF176" s="273">
        <v>2441</v>
      </c>
      <c r="BG176" s="273">
        <v>-0.01174089068825911</v>
      </c>
      <c r="BH176" s="273">
        <v>0</v>
      </c>
      <c r="BI176" s="273">
        <v>0</v>
      </c>
      <c r="BJ176" s="273">
        <v>0</v>
      </c>
      <c r="BK176" s="273">
        <v>451576.3679986976</v>
      </c>
      <c r="BL176" s="273">
        <v>6687.69</v>
      </c>
    </row>
    <row r="177" spans="6:64" s="273" customFormat="1" ht="12.75">
      <c r="F177" s="273">
        <v>285</v>
      </c>
      <c r="G177" s="273" t="s">
        <v>113</v>
      </c>
      <c r="H177" s="273">
        <v>3578</v>
      </c>
      <c r="I177" s="273">
        <v>500</v>
      </c>
      <c r="J177" s="273">
        <v>3263</v>
      </c>
      <c r="K177" s="273">
        <v>1754</v>
      </c>
      <c r="L177" s="273">
        <v>39485</v>
      </c>
      <c r="M177" s="273">
        <v>6317</v>
      </c>
      <c r="N177" s="273">
        <v>4000</v>
      </c>
      <c r="O177" s="273">
        <v>1451</v>
      </c>
      <c r="P177" s="273">
        <v>54831</v>
      </c>
      <c r="Q177" s="273">
        <v>58</v>
      </c>
      <c r="R177" s="273">
        <v>443</v>
      </c>
      <c r="S177" s="273">
        <v>271.33</v>
      </c>
      <c r="T177" s="273">
        <v>202.08233516382268</v>
      </c>
      <c r="U177" s="273">
        <v>1</v>
      </c>
      <c r="V177" s="273">
        <v>0</v>
      </c>
      <c r="W177" s="273">
        <v>20894</v>
      </c>
      <c r="X177" s="273">
        <v>164</v>
      </c>
      <c r="Y177" s="273">
        <v>198</v>
      </c>
      <c r="Z177" s="273">
        <v>1.0323559660673134</v>
      </c>
      <c r="AA177" s="273">
        <v>106</v>
      </c>
      <c r="AB177" s="273">
        <v>106</v>
      </c>
      <c r="AC177" s="273">
        <v>1.2506905554719059</v>
      </c>
      <c r="AD177" s="273">
        <v>2669</v>
      </c>
      <c r="AE177" s="273">
        <v>295</v>
      </c>
      <c r="AF177" s="273">
        <v>83</v>
      </c>
      <c r="AG177" s="273">
        <v>33</v>
      </c>
      <c r="AH177" s="273">
        <v>3080</v>
      </c>
      <c r="AI177" s="273">
        <v>1.1168942295192417</v>
      </c>
      <c r="AJ177" s="273">
        <v>24913</v>
      </c>
      <c r="AK177" s="273">
        <v>3701</v>
      </c>
      <c r="AL177" s="273">
        <v>1.5717713115489993</v>
      </c>
      <c r="AM177" s="273">
        <v>1.1635743661123</v>
      </c>
      <c r="AN177" s="273">
        <v>0</v>
      </c>
      <c r="AO177" s="273">
        <v>0</v>
      </c>
      <c r="AP177" s="273">
        <f t="shared" si="1"/>
        <v>0</v>
      </c>
      <c r="AQ177" s="273">
        <v>-573075.1788794994</v>
      </c>
      <c r="AR177" s="273">
        <v>-2786518.7689144774</v>
      </c>
      <c r="AS177" s="273">
        <v>1</v>
      </c>
      <c r="AT177" s="273">
        <v>54831</v>
      </c>
      <c r="AU177" s="273">
        <v>1</v>
      </c>
      <c r="AV177" s="273">
        <v>438</v>
      </c>
      <c r="AW177" s="273">
        <v>0.007988181867921431</v>
      </c>
      <c r="AX177" s="273">
        <v>0</v>
      </c>
      <c r="AY177" s="273">
        <v>271.33</v>
      </c>
      <c r="AZ177" s="273">
        <v>202.08233516382268</v>
      </c>
      <c r="BA177" s="273">
        <v>53193</v>
      </c>
      <c r="BB177" s="273">
        <v>0.9701263883569513</v>
      </c>
      <c r="BC177" s="273">
        <v>0</v>
      </c>
      <c r="BD177" s="273">
        <v>0</v>
      </c>
      <c r="BE177" s="273">
        <v>54694</v>
      </c>
      <c r="BF177" s="273">
        <v>54831</v>
      </c>
      <c r="BG177" s="273">
        <v>0.0025048451384064065</v>
      </c>
      <c r="BH177" s="273">
        <v>0</v>
      </c>
      <c r="BI177" s="273">
        <v>1</v>
      </c>
      <c r="BJ177" s="273">
        <v>1.823785814593934E-05</v>
      </c>
      <c r="BK177" s="273">
        <v>8985403.140936533</v>
      </c>
      <c r="BL177" s="273">
        <v>5967.92</v>
      </c>
    </row>
    <row r="178" spans="6:64" s="273" customFormat="1" ht="12.75">
      <c r="F178" s="273">
        <v>286</v>
      </c>
      <c r="G178" s="273" t="s">
        <v>114</v>
      </c>
      <c r="H178" s="273">
        <v>5518</v>
      </c>
      <c r="I178" s="273">
        <v>833</v>
      </c>
      <c r="J178" s="273">
        <v>5268</v>
      </c>
      <c r="K178" s="273">
        <v>2904</v>
      </c>
      <c r="L178" s="273">
        <v>63090</v>
      </c>
      <c r="M178" s="273">
        <v>10184</v>
      </c>
      <c r="N178" s="273">
        <v>6447</v>
      </c>
      <c r="O178" s="273">
        <v>2328</v>
      </c>
      <c r="P178" s="273">
        <v>87567</v>
      </c>
      <c r="Q178" s="273">
        <v>39</v>
      </c>
      <c r="R178" s="273">
        <v>262</v>
      </c>
      <c r="S178" s="273">
        <v>2558.24</v>
      </c>
      <c r="T178" s="273">
        <v>34.229392082056414</v>
      </c>
      <c r="U178" s="273">
        <v>0</v>
      </c>
      <c r="V178" s="273">
        <v>0</v>
      </c>
      <c r="W178" s="273">
        <v>35195</v>
      </c>
      <c r="X178" s="273">
        <v>1407</v>
      </c>
      <c r="Y178" s="273">
        <v>392</v>
      </c>
      <c r="Z178" s="273">
        <v>0.9968579794446399</v>
      </c>
      <c r="AA178" s="273">
        <v>134</v>
      </c>
      <c r="AB178" s="273">
        <v>134</v>
      </c>
      <c r="AC178" s="273">
        <v>0.9899984136684481</v>
      </c>
      <c r="AD178" s="273">
        <v>3969</v>
      </c>
      <c r="AE178" s="273">
        <v>522</v>
      </c>
      <c r="AF178" s="273">
        <v>132</v>
      </c>
      <c r="AG178" s="273">
        <v>85</v>
      </c>
      <c r="AH178" s="273">
        <v>4708</v>
      </c>
      <c r="AI178" s="273">
        <v>1.0690142148083086</v>
      </c>
      <c r="AJ178" s="273">
        <v>40652</v>
      </c>
      <c r="AK178" s="273">
        <v>4485</v>
      </c>
      <c r="AL178" s="273">
        <v>1.167284801909646</v>
      </c>
      <c r="AM178" s="273">
        <v>1.16458561507088</v>
      </c>
      <c r="AN178" s="273">
        <v>0</v>
      </c>
      <c r="AO178" s="273">
        <v>0</v>
      </c>
      <c r="AP178" s="273">
        <f t="shared" si="1"/>
        <v>0</v>
      </c>
      <c r="AQ178" s="273">
        <v>-328800.80143755674</v>
      </c>
      <c r="AR178" s="273">
        <v>-2761249.3777921437</v>
      </c>
      <c r="AS178" s="273">
        <v>1</v>
      </c>
      <c r="AT178" s="273">
        <v>87567</v>
      </c>
      <c r="AU178" s="273">
        <v>0</v>
      </c>
      <c r="AV178" s="273">
        <v>0</v>
      </c>
      <c r="AW178" s="273">
        <v>0</v>
      </c>
      <c r="AX178" s="273">
        <v>0</v>
      </c>
      <c r="AY178" s="273">
        <v>2558.24</v>
      </c>
      <c r="AZ178" s="273">
        <v>34.229392082056414</v>
      </c>
      <c r="BA178" s="273">
        <v>74606</v>
      </c>
      <c r="BB178" s="273">
        <v>0.8519876209074194</v>
      </c>
      <c r="BC178" s="273">
        <v>0</v>
      </c>
      <c r="BD178" s="273">
        <v>0</v>
      </c>
      <c r="BE178" s="273">
        <v>88436</v>
      </c>
      <c r="BF178" s="273">
        <v>87567</v>
      </c>
      <c r="BG178" s="273">
        <v>-0.009826315075308697</v>
      </c>
      <c r="BH178" s="273">
        <v>0</v>
      </c>
      <c r="BI178" s="273">
        <v>2</v>
      </c>
      <c r="BJ178" s="273">
        <v>2.2839654207635296E-05</v>
      </c>
      <c r="BK178" s="273">
        <v>14649755.62470777</v>
      </c>
      <c r="BL178" s="273">
        <v>5999.46</v>
      </c>
    </row>
    <row r="179" spans="6:64" s="273" customFormat="1" ht="12.75">
      <c r="F179" s="273">
        <v>287</v>
      </c>
      <c r="G179" s="273" t="s">
        <v>115</v>
      </c>
      <c r="H179" s="273">
        <v>368</v>
      </c>
      <c r="I179" s="273">
        <v>55</v>
      </c>
      <c r="J179" s="273">
        <v>339</v>
      </c>
      <c r="K179" s="273">
        <v>220</v>
      </c>
      <c r="L179" s="273">
        <v>4783</v>
      </c>
      <c r="M179" s="273">
        <v>963</v>
      </c>
      <c r="N179" s="273">
        <v>657</v>
      </c>
      <c r="O179" s="273">
        <v>325</v>
      </c>
      <c r="P179" s="273">
        <v>7096</v>
      </c>
      <c r="Q179" s="273">
        <v>344</v>
      </c>
      <c r="R179" s="273">
        <v>28</v>
      </c>
      <c r="S179" s="273">
        <v>682.99</v>
      </c>
      <c r="T179" s="273">
        <v>10.38961038961039</v>
      </c>
      <c r="U179" s="273">
        <v>0</v>
      </c>
      <c r="V179" s="273">
        <v>3</v>
      </c>
      <c r="W179" s="273">
        <v>2917</v>
      </c>
      <c r="X179" s="273">
        <v>384</v>
      </c>
      <c r="Y179" s="273">
        <v>32</v>
      </c>
      <c r="Z179" s="273">
        <v>0.9007350639108912</v>
      </c>
      <c r="AA179" s="273">
        <v>5</v>
      </c>
      <c r="AB179" s="273">
        <v>5</v>
      </c>
      <c r="AC179" s="273">
        <v>0.4558548388082049</v>
      </c>
      <c r="AD179" s="273">
        <v>380</v>
      </c>
      <c r="AE179" s="273">
        <v>31</v>
      </c>
      <c r="AF179" s="273">
        <v>10</v>
      </c>
      <c r="AG179" s="273">
        <v>3</v>
      </c>
      <c r="AH179" s="273">
        <v>424</v>
      </c>
      <c r="AI179" s="273">
        <v>1.1880637554849944</v>
      </c>
      <c r="AJ179" s="273">
        <v>3198</v>
      </c>
      <c r="AK179" s="273">
        <v>203</v>
      </c>
      <c r="AL179" s="273">
        <v>0.6716049355504297</v>
      </c>
      <c r="AM179" s="273">
        <v>1.00612278867081</v>
      </c>
      <c r="AN179" s="273">
        <v>0</v>
      </c>
      <c r="AO179" s="273">
        <v>0</v>
      </c>
      <c r="AP179" s="273">
        <f t="shared" si="1"/>
        <v>0</v>
      </c>
      <c r="AQ179" s="273">
        <v>168304.4416630827</v>
      </c>
      <c r="AR179" s="273">
        <v>3281481.4673699946</v>
      </c>
      <c r="AS179" s="273">
        <v>1</v>
      </c>
      <c r="AT179" s="273">
        <v>7096</v>
      </c>
      <c r="AU179" s="273">
        <v>0</v>
      </c>
      <c r="AV179" s="273">
        <v>0</v>
      </c>
      <c r="AW179" s="273">
        <v>0</v>
      </c>
      <c r="AX179" s="273">
        <v>0.41386666666666666</v>
      </c>
      <c r="AY179" s="273">
        <v>682.99</v>
      </c>
      <c r="AZ179" s="273">
        <v>10.38961038961039</v>
      </c>
      <c r="BA179" s="273">
        <v>4783</v>
      </c>
      <c r="BB179" s="273">
        <v>0.6740417136414881</v>
      </c>
      <c r="BC179" s="273">
        <v>3</v>
      </c>
      <c r="BD179" s="273">
        <v>0</v>
      </c>
      <c r="BE179" s="273">
        <v>7262</v>
      </c>
      <c r="BF179" s="273">
        <v>7096</v>
      </c>
      <c r="BG179" s="273">
        <v>-0.02285871660699532</v>
      </c>
      <c r="BH179" s="273">
        <v>0</v>
      </c>
      <c r="BI179" s="273">
        <v>0</v>
      </c>
      <c r="BJ179" s="273">
        <v>0</v>
      </c>
      <c r="BK179" s="273">
        <v>1406741.8301322137</v>
      </c>
      <c r="BL179" s="273">
        <v>7534.35</v>
      </c>
    </row>
    <row r="180" spans="6:64" s="273" customFormat="1" ht="12.75">
      <c r="F180" s="273">
        <v>288</v>
      </c>
      <c r="G180" s="273" t="s">
        <v>116</v>
      </c>
      <c r="H180" s="273">
        <v>530</v>
      </c>
      <c r="I180" s="273">
        <v>83</v>
      </c>
      <c r="J180" s="273">
        <v>500</v>
      </c>
      <c r="K180" s="273">
        <v>253</v>
      </c>
      <c r="L180" s="273">
        <v>4729</v>
      </c>
      <c r="M180" s="273">
        <v>688</v>
      </c>
      <c r="N180" s="273">
        <v>471</v>
      </c>
      <c r="O180" s="273">
        <v>263</v>
      </c>
      <c r="P180" s="273">
        <v>6681</v>
      </c>
      <c r="Q180" s="273">
        <v>704</v>
      </c>
      <c r="R180" s="273">
        <v>19</v>
      </c>
      <c r="S180" s="273">
        <v>712.34</v>
      </c>
      <c r="T180" s="273">
        <v>9.378948255046748</v>
      </c>
      <c r="U180" s="273">
        <v>0</v>
      </c>
      <c r="V180" s="273">
        <v>3</v>
      </c>
      <c r="W180" s="273">
        <v>2909</v>
      </c>
      <c r="X180" s="273">
        <v>386</v>
      </c>
      <c r="Y180" s="273">
        <v>32</v>
      </c>
      <c r="Z180" s="273">
        <v>0.8996007586566365</v>
      </c>
      <c r="AA180" s="273">
        <v>8</v>
      </c>
      <c r="AB180" s="273">
        <v>8</v>
      </c>
      <c r="AC180" s="273">
        <v>0.774673476709001</v>
      </c>
      <c r="AD180" s="273">
        <v>339</v>
      </c>
      <c r="AE180" s="273">
        <v>42</v>
      </c>
      <c r="AF180" s="273">
        <v>13</v>
      </c>
      <c r="AG180" s="273">
        <v>1</v>
      </c>
      <c r="AH180" s="273">
        <v>395</v>
      </c>
      <c r="AI180" s="273">
        <v>1.1755554548960305</v>
      </c>
      <c r="AJ180" s="273">
        <v>3144</v>
      </c>
      <c r="AK180" s="273">
        <v>139</v>
      </c>
      <c r="AL180" s="273">
        <v>0.46776590512658106</v>
      </c>
      <c r="AM180" s="273">
        <v>0.785861404407856</v>
      </c>
      <c r="AN180" s="273">
        <v>0</v>
      </c>
      <c r="AO180" s="273">
        <v>0</v>
      </c>
      <c r="AP180" s="273">
        <f t="shared" si="1"/>
        <v>0</v>
      </c>
      <c r="AQ180" s="273">
        <v>-40340.352658394724</v>
      </c>
      <c r="AR180" s="273">
        <v>3228220.628415385</v>
      </c>
      <c r="AS180" s="273">
        <v>0</v>
      </c>
      <c r="AT180" s="273">
        <v>6681</v>
      </c>
      <c r="AU180" s="273">
        <v>0</v>
      </c>
      <c r="AV180" s="273">
        <v>0</v>
      </c>
      <c r="AW180" s="273">
        <v>0</v>
      </c>
      <c r="AX180" s="273">
        <v>0</v>
      </c>
      <c r="AY180" s="273">
        <v>712.34</v>
      </c>
      <c r="AZ180" s="273">
        <v>9.378948255046748</v>
      </c>
      <c r="BA180" s="273">
        <v>3396</v>
      </c>
      <c r="BB180" s="273">
        <v>0.508307139649753</v>
      </c>
      <c r="BC180" s="273">
        <v>3</v>
      </c>
      <c r="BD180" s="273">
        <v>0</v>
      </c>
      <c r="BE180" s="273">
        <v>6716</v>
      </c>
      <c r="BF180" s="273">
        <v>6681</v>
      </c>
      <c r="BG180" s="273">
        <v>-0.00521143537820131</v>
      </c>
      <c r="BH180" s="273">
        <v>0</v>
      </c>
      <c r="BI180" s="273">
        <v>0</v>
      </c>
      <c r="BJ180" s="273">
        <v>0</v>
      </c>
      <c r="BK180" s="273">
        <v>1269272.441387675</v>
      </c>
      <c r="BL180" s="273">
        <v>7822.17</v>
      </c>
    </row>
    <row r="181" spans="6:64" s="273" customFormat="1" ht="12.75">
      <c r="F181" s="273">
        <v>290</v>
      </c>
      <c r="G181" s="273" t="s">
        <v>117</v>
      </c>
      <c r="H181" s="273">
        <v>504</v>
      </c>
      <c r="I181" s="273">
        <v>68</v>
      </c>
      <c r="J181" s="273">
        <v>486</v>
      </c>
      <c r="K181" s="273">
        <v>269</v>
      </c>
      <c r="L181" s="273">
        <v>6364</v>
      </c>
      <c r="M181" s="273">
        <v>1341</v>
      </c>
      <c r="N181" s="273">
        <v>894</v>
      </c>
      <c r="O181" s="273">
        <v>231</v>
      </c>
      <c r="P181" s="273">
        <v>9334</v>
      </c>
      <c r="Q181" s="273">
        <v>0</v>
      </c>
      <c r="R181" s="273">
        <v>13</v>
      </c>
      <c r="S181" s="273">
        <v>4806.75</v>
      </c>
      <c r="T181" s="273">
        <v>1.9418526031102097</v>
      </c>
      <c r="U181" s="273">
        <v>0</v>
      </c>
      <c r="V181" s="273">
        <v>0</v>
      </c>
      <c r="W181" s="273">
        <v>3172</v>
      </c>
      <c r="X181" s="273">
        <v>458</v>
      </c>
      <c r="Y181" s="273">
        <v>66</v>
      </c>
      <c r="Z181" s="273">
        <v>0.8770101281582611</v>
      </c>
      <c r="AA181" s="273">
        <v>7</v>
      </c>
      <c r="AB181" s="273">
        <v>7</v>
      </c>
      <c r="AC181" s="273">
        <v>0.48517723491067394</v>
      </c>
      <c r="AD181" s="273">
        <v>642</v>
      </c>
      <c r="AE181" s="273">
        <v>54</v>
      </c>
      <c r="AF181" s="273">
        <v>17</v>
      </c>
      <c r="AG181" s="273">
        <v>0</v>
      </c>
      <c r="AH181" s="273">
        <v>713</v>
      </c>
      <c r="AI181" s="273">
        <v>1.5188302229324533</v>
      </c>
      <c r="AJ181" s="273">
        <v>4040</v>
      </c>
      <c r="AK181" s="273">
        <v>632</v>
      </c>
      <c r="AL181" s="273">
        <v>1.65512963105235</v>
      </c>
      <c r="AM181" s="273">
        <v>1.35270667410609</v>
      </c>
      <c r="AN181" s="273">
        <v>0.0800000000000001</v>
      </c>
      <c r="AO181" s="273">
        <v>0</v>
      </c>
      <c r="AP181" s="273">
        <f t="shared" si="1"/>
        <v>0.0800000000000001</v>
      </c>
      <c r="AQ181" s="273">
        <v>45840.17907136306</v>
      </c>
      <c r="AR181" s="273">
        <v>5649513.637866667</v>
      </c>
      <c r="AS181" s="273">
        <v>1</v>
      </c>
      <c r="AT181" s="273">
        <v>9334</v>
      </c>
      <c r="AU181" s="273">
        <v>0</v>
      </c>
      <c r="AV181" s="273">
        <v>0</v>
      </c>
      <c r="AW181" s="273">
        <v>0</v>
      </c>
      <c r="AX181" s="273">
        <v>1.2567333333333335</v>
      </c>
      <c r="AY181" s="273">
        <v>4806.75</v>
      </c>
      <c r="AZ181" s="273">
        <v>1.9418526031102097</v>
      </c>
      <c r="BA181" s="273">
        <v>5890</v>
      </c>
      <c r="BB181" s="273">
        <v>0.6310263552603386</v>
      </c>
      <c r="BC181" s="273">
        <v>0</v>
      </c>
      <c r="BD181" s="273">
        <v>0</v>
      </c>
      <c r="BE181" s="273">
        <v>9798</v>
      </c>
      <c r="BF181" s="273">
        <v>9334</v>
      </c>
      <c r="BG181" s="273">
        <v>-0.04735660338844662</v>
      </c>
      <c r="BH181" s="273">
        <v>0</v>
      </c>
      <c r="BI181" s="273">
        <v>1</v>
      </c>
      <c r="BJ181" s="273">
        <v>0.00010713520462824084</v>
      </c>
      <c r="BK181" s="273">
        <v>2470567.4528105296</v>
      </c>
      <c r="BL181" s="273">
        <v>8260.57</v>
      </c>
    </row>
    <row r="182" spans="6:64" s="273" customFormat="1" ht="12.75">
      <c r="F182" s="273">
        <v>291</v>
      </c>
      <c r="G182" s="273" t="s">
        <v>118</v>
      </c>
      <c r="H182" s="273">
        <v>118</v>
      </c>
      <c r="I182" s="273">
        <v>18</v>
      </c>
      <c r="J182" s="273">
        <v>106</v>
      </c>
      <c r="K182" s="273">
        <v>52</v>
      </c>
      <c r="L182" s="273">
        <v>1506</v>
      </c>
      <c r="M182" s="273">
        <v>433</v>
      </c>
      <c r="N182" s="273">
        <v>320</v>
      </c>
      <c r="O182" s="273">
        <v>128</v>
      </c>
      <c r="P182" s="273">
        <v>2505</v>
      </c>
      <c r="Q182" s="273">
        <v>0</v>
      </c>
      <c r="R182" s="273">
        <v>1</v>
      </c>
      <c r="S182" s="273">
        <v>660.96</v>
      </c>
      <c r="T182" s="273">
        <v>3.7899419026870005</v>
      </c>
      <c r="U182" s="273">
        <v>1</v>
      </c>
      <c r="V182" s="273">
        <v>0</v>
      </c>
      <c r="W182" s="273">
        <v>806</v>
      </c>
      <c r="X182" s="273">
        <v>127</v>
      </c>
      <c r="Y182" s="273">
        <v>22</v>
      </c>
      <c r="Z182" s="273">
        <v>0.8563476977438511</v>
      </c>
      <c r="AA182" s="273">
        <v>1</v>
      </c>
      <c r="AB182" s="273">
        <v>2</v>
      </c>
      <c r="AC182" s="273">
        <v>0.5165262971948937</v>
      </c>
      <c r="AD182" s="273">
        <v>184</v>
      </c>
      <c r="AE182" s="273">
        <v>10</v>
      </c>
      <c r="AF182" s="273">
        <v>4</v>
      </c>
      <c r="AG182" s="273">
        <v>1</v>
      </c>
      <c r="AH182" s="273">
        <v>199</v>
      </c>
      <c r="AI182" s="273">
        <v>1.5795480561286697</v>
      </c>
      <c r="AJ182" s="273">
        <v>1011</v>
      </c>
      <c r="AK182" s="273">
        <v>124</v>
      </c>
      <c r="AL182" s="273">
        <v>1.2976776658841123</v>
      </c>
      <c r="AM182" s="273">
        <v>1.32007210143493</v>
      </c>
      <c r="AN182" s="273">
        <v>0.05</v>
      </c>
      <c r="AO182" s="273">
        <v>0</v>
      </c>
      <c r="AP182" s="273">
        <f t="shared" si="1"/>
        <v>0.05</v>
      </c>
      <c r="AQ182" s="273">
        <v>7533.050449972972</v>
      </c>
      <c r="AR182" s="273">
        <v>1616158.4251544317</v>
      </c>
      <c r="AS182" s="273">
        <v>1</v>
      </c>
      <c r="AT182" s="273">
        <v>2505</v>
      </c>
      <c r="AU182" s="273">
        <v>1</v>
      </c>
      <c r="AV182" s="273">
        <v>212</v>
      </c>
      <c r="AW182" s="273">
        <v>0.0846307385229541</v>
      </c>
      <c r="AX182" s="273">
        <v>0.6464666666666666</v>
      </c>
      <c r="AY182" s="273">
        <v>660.96</v>
      </c>
      <c r="AZ182" s="273">
        <v>3.7899419026870005</v>
      </c>
      <c r="BA182" s="273">
        <v>1419</v>
      </c>
      <c r="BB182" s="273">
        <v>0.5664670658682635</v>
      </c>
      <c r="BC182" s="273">
        <v>0</v>
      </c>
      <c r="BD182" s="273">
        <v>0</v>
      </c>
      <c r="BE182" s="273">
        <v>2639</v>
      </c>
      <c r="BF182" s="273">
        <v>2505</v>
      </c>
      <c r="BG182" s="273">
        <v>-0.050776809397499054</v>
      </c>
      <c r="BH182" s="273">
        <v>0</v>
      </c>
      <c r="BI182" s="273">
        <v>0</v>
      </c>
      <c r="BJ182" s="273">
        <v>0</v>
      </c>
      <c r="BK182" s="273">
        <v>559701.7156567511</v>
      </c>
      <c r="BL182" s="273">
        <v>7515.9</v>
      </c>
    </row>
    <row r="183" spans="6:64" s="273" customFormat="1" ht="12.75">
      <c r="F183" s="273">
        <v>297</v>
      </c>
      <c r="G183" s="273" t="s">
        <v>119</v>
      </c>
      <c r="H183" s="273">
        <v>7544</v>
      </c>
      <c r="I183" s="273">
        <v>1091</v>
      </c>
      <c r="J183" s="273">
        <v>6300</v>
      </c>
      <c r="K183" s="273">
        <v>3231</v>
      </c>
      <c r="L183" s="273">
        <v>78585</v>
      </c>
      <c r="M183" s="273">
        <v>9572</v>
      </c>
      <c r="N183" s="273">
        <v>6069</v>
      </c>
      <c r="O183" s="273">
        <v>2162</v>
      </c>
      <c r="P183" s="273">
        <v>103932</v>
      </c>
      <c r="Q183" s="273">
        <v>7</v>
      </c>
      <c r="R183" s="273">
        <v>319</v>
      </c>
      <c r="S183" s="273">
        <v>2309.16</v>
      </c>
      <c r="T183" s="273">
        <v>45.00857454658837</v>
      </c>
      <c r="U183" s="273">
        <v>1</v>
      </c>
      <c r="V183" s="273">
        <v>0</v>
      </c>
      <c r="W183" s="273">
        <v>43028</v>
      </c>
      <c r="X183" s="273">
        <v>1226</v>
      </c>
      <c r="Y183" s="273">
        <v>404</v>
      </c>
      <c r="Z183" s="273">
        <v>1.010759907459896</v>
      </c>
      <c r="AA183" s="273">
        <v>232</v>
      </c>
      <c r="AB183" s="273">
        <v>232</v>
      </c>
      <c r="AC183" s="273">
        <v>1.4441385852181448</v>
      </c>
      <c r="AD183" s="273">
        <v>4936</v>
      </c>
      <c r="AE183" s="273">
        <v>656</v>
      </c>
      <c r="AF183" s="273">
        <v>184</v>
      </c>
      <c r="AG183" s="273">
        <v>33</v>
      </c>
      <c r="AH183" s="273">
        <v>5809</v>
      </c>
      <c r="AI183" s="273">
        <v>1.1113211739729931</v>
      </c>
      <c r="AJ183" s="273">
        <v>49013</v>
      </c>
      <c r="AK183" s="273">
        <v>5110</v>
      </c>
      <c r="AL183" s="273">
        <v>1.1030772175431993</v>
      </c>
      <c r="AM183" s="273">
        <v>1.2797198562970926</v>
      </c>
      <c r="AN183" s="273">
        <v>0</v>
      </c>
      <c r="AO183" s="273">
        <v>0</v>
      </c>
      <c r="AP183" s="273">
        <f t="shared" si="1"/>
        <v>0</v>
      </c>
      <c r="AQ183" s="273">
        <v>402178.1501936652</v>
      </c>
      <c r="AR183" s="273">
        <v>490668.36323307443</v>
      </c>
      <c r="AS183" s="273">
        <v>1</v>
      </c>
      <c r="AT183" s="273">
        <v>103932</v>
      </c>
      <c r="AU183" s="273">
        <v>1</v>
      </c>
      <c r="AV183" s="273">
        <v>678</v>
      </c>
      <c r="AW183" s="273">
        <v>0.006523496132086365</v>
      </c>
      <c r="AX183" s="273">
        <v>0</v>
      </c>
      <c r="AY183" s="273">
        <v>2309.16</v>
      </c>
      <c r="AZ183" s="273">
        <v>45.00857454658837</v>
      </c>
      <c r="BA183" s="273">
        <v>89865</v>
      </c>
      <c r="BB183" s="273">
        <v>0.8646518877727745</v>
      </c>
      <c r="BC183" s="273">
        <v>0</v>
      </c>
      <c r="BD183" s="273">
        <v>0</v>
      </c>
      <c r="BE183" s="273">
        <v>101989</v>
      </c>
      <c r="BF183" s="273">
        <v>103932</v>
      </c>
      <c r="BG183" s="273">
        <v>0.01905107413544598</v>
      </c>
      <c r="BH183" s="273">
        <v>0</v>
      </c>
      <c r="BI183" s="273">
        <v>1</v>
      </c>
      <c r="BJ183" s="273">
        <v>9.621675711041834E-06</v>
      </c>
      <c r="BK183" s="273">
        <v>16301941.734011222</v>
      </c>
      <c r="BL183" s="273">
        <v>5889.13</v>
      </c>
    </row>
    <row r="184" spans="6:64" s="273" customFormat="1" ht="12.75">
      <c r="F184" s="273">
        <v>300</v>
      </c>
      <c r="G184" s="273" t="s">
        <v>120</v>
      </c>
      <c r="H184" s="273">
        <v>275</v>
      </c>
      <c r="I184" s="273">
        <v>35</v>
      </c>
      <c r="J184" s="273">
        <v>246</v>
      </c>
      <c r="K184" s="273">
        <v>119</v>
      </c>
      <c r="L184" s="273">
        <v>2590</v>
      </c>
      <c r="M184" s="273">
        <v>492</v>
      </c>
      <c r="N184" s="273">
        <v>414</v>
      </c>
      <c r="O184" s="273">
        <v>135</v>
      </c>
      <c r="P184" s="273">
        <v>3906</v>
      </c>
      <c r="Q184" s="273">
        <v>0</v>
      </c>
      <c r="R184" s="273">
        <v>4</v>
      </c>
      <c r="S184" s="273">
        <v>462.17</v>
      </c>
      <c r="T184" s="273">
        <v>8.4514356189281</v>
      </c>
      <c r="U184" s="273">
        <v>0</v>
      </c>
      <c r="V184" s="273">
        <v>0</v>
      </c>
      <c r="W184" s="273">
        <v>1557</v>
      </c>
      <c r="X184" s="273">
        <v>209</v>
      </c>
      <c r="Y184" s="273">
        <v>16</v>
      </c>
      <c r="Z184" s="273">
        <v>0.8987427892458145</v>
      </c>
      <c r="AA184" s="273">
        <v>0</v>
      </c>
      <c r="AB184" s="273">
        <v>2</v>
      </c>
      <c r="AC184" s="273">
        <v>0.33125918445294644</v>
      </c>
      <c r="AD184" s="273">
        <v>265</v>
      </c>
      <c r="AE184" s="273">
        <v>32</v>
      </c>
      <c r="AF184" s="273">
        <v>5</v>
      </c>
      <c r="AG184" s="273">
        <v>5</v>
      </c>
      <c r="AH184" s="273">
        <v>307</v>
      </c>
      <c r="AI184" s="273">
        <v>1.5627648474642946</v>
      </c>
      <c r="AJ184" s="273">
        <v>1695</v>
      </c>
      <c r="AK184" s="273">
        <v>110</v>
      </c>
      <c r="AL184" s="273">
        <v>0.6866244800788472</v>
      </c>
      <c r="AM184" s="273">
        <v>1.07387561979048</v>
      </c>
      <c r="AN184" s="273">
        <v>0</v>
      </c>
      <c r="AO184" s="273">
        <v>0</v>
      </c>
      <c r="AP184" s="273">
        <f t="shared" si="1"/>
        <v>0</v>
      </c>
      <c r="AQ184" s="273">
        <v>43572.96139998175</v>
      </c>
      <c r="AR184" s="273">
        <v>2848992.4888153835</v>
      </c>
      <c r="AS184" s="273">
        <v>1</v>
      </c>
      <c r="AT184" s="273">
        <v>3906</v>
      </c>
      <c r="AU184" s="273">
        <v>0</v>
      </c>
      <c r="AV184" s="273">
        <v>0</v>
      </c>
      <c r="AW184" s="273">
        <v>0</v>
      </c>
      <c r="AX184" s="273">
        <v>0</v>
      </c>
      <c r="AY184" s="273">
        <v>462.17</v>
      </c>
      <c r="AZ184" s="273">
        <v>8.4514356189281</v>
      </c>
      <c r="BA184" s="273">
        <v>1526</v>
      </c>
      <c r="BB184" s="273">
        <v>0.3906810035842294</v>
      </c>
      <c r="BC184" s="273">
        <v>0</v>
      </c>
      <c r="BD184" s="273">
        <v>0</v>
      </c>
      <c r="BE184" s="273">
        <v>4019</v>
      </c>
      <c r="BF184" s="273">
        <v>3906</v>
      </c>
      <c r="BG184" s="273">
        <v>-0.028116446877332668</v>
      </c>
      <c r="BH184" s="273">
        <v>0</v>
      </c>
      <c r="BI184" s="273">
        <v>0</v>
      </c>
      <c r="BJ184" s="273">
        <v>0</v>
      </c>
      <c r="BK184" s="273">
        <v>817439.3429276393</v>
      </c>
      <c r="BL184" s="273">
        <v>6918.95</v>
      </c>
    </row>
    <row r="185" spans="6:64" s="273" customFormat="1" ht="12.75">
      <c r="F185" s="273">
        <v>301</v>
      </c>
      <c r="G185" s="273" t="s">
        <v>121</v>
      </c>
      <c r="H185" s="273">
        <v>993</v>
      </c>
      <c r="I185" s="273">
        <v>171</v>
      </c>
      <c r="J185" s="273">
        <v>911</v>
      </c>
      <c r="K185" s="273">
        <v>498</v>
      </c>
      <c r="L185" s="273">
        <v>10311</v>
      </c>
      <c r="M185" s="273">
        <v>1621</v>
      </c>
      <c r="N185" s="273">
        <v>1103</v>
      </c>
      <c r="O185" s="273">
        <v>467</v>
      </c>
      <c r="P185" s="273">
        <v>14495</v>
      </c>
      <c r="Q185" s="273">
        <v>6</v>
      </c>
      <c r="R185" s="273">
        <v>16</v>
      </c>
      <c r="S185" s="273">
        <v>905.64</v>
      </c>
      <c r="T185" s="273">
        <v>16.005255951592243</v>
      </c>
      <c r="U185" s="273">
        <v>0</v>
      </c>
      <c r="V185" s="273">
        <v>0</v>
      </c>
      <c r="W185" s="273">
        <v>5544</v>
      </c>
      <c r="X185" s="273">
        <v>547</v>
      </c>
      <c r="Y185" s="273">
        <v>75</v>
      </c>
      <c r="Z185" s="273">
        <v>0.9326918771444495</v>
      </c>
      <c r="AA185" s="273">
        <v>20</v>
      </c>
      <c r="AB185" s="273">
        <v>20</v>
      </c>
      <c r="AC185" s="273">
        <v>0.8926515174013169</v>
      </c>
      <c r="AD185" s="273">
        <v>912</v>
      </c>
      <c r="AE185" s="273">
        <v>97</v>
      </c>
      <c r="AF185" s="273">
        <v>45</v>
      </c>
      <c r="AG185" s="273">
        <v>4</v>
      </c>
      <c r="AH185" s="273">
        <v>1058</v>
      </c>
      <c r="AI185" s="273">
        <v>1.4512924809203838</v>
      </c>
      <c r="AJ185" s="273">
        <v>6596</v>
      </c>
      <c r="AK185" s="273">
        <v>562</v>
      </c>
      <c r="AL185" s="273">
        <v>0.9014714337591778</v>
      </c>
      <c r="AM185" s="273">
        <v>1.29663536137353</v>
      </c>
      <c r="AN185" s="273">
        <v>0</v>
      </c>
      <c r="AO185" s="273">
        <v>0</v>
      </c>
      <c r="AP185" s="273">
        <f t="shared" si="1"/>
        <v>0</v>
      </c>
      <c r="AQ185" s="273">
        <v>72008.12821538001</v>
      </c>
      <c r="AR185" s="273">
        <v>7867512.868699999</v>
      </c>
      <c r="AS185" s="273">
        <v>1</v>
      </c>
      <c r="AT185" s="273">
        <v>14495</v>
      </c>
      <c r="AU185" s="273">
        <v>0</v>
      </c>
      <c r="AV185" s="273">
        <v>0</v>
      </c>
      <c r="AW185" s="273">
        <v>0</v>
      </c>
      <c r="AX185" s="273">
        <v>0</v>
      </c>
      <c r="AY185" s="273">
        <v>905.64</v>
      </c>
      <c r="AZ185" s="273">
        <v>16.005255951592243</v>
      </c>
      <c r="BA185" s="273">
        <v>10041</v>
      </c>
      <c r="BB185" s="273">
        <v>0.6927216281476372</v>
      </c>
      <c r="BC185" s="273">
        <v>0</v>
      </c>
      <c r="BD185" s="273">
        <v>0</v>
      </c>
      <c r="BE185" s="273">
        <v>14749</v>
      </c>
      <c r="BF185" s="273">
        <v>14495</v>
      </c>
      <c r="BG185" s="273">
        <v>-0.017221506542816463</v>
      </c>
      <c r="BH185" s="273">
        <v>0</v>
      </c>
      <c r="BI185" s="273">
        <v>0</v>
      </c>
      <c r="BJ185" s="273">
        <v>0</v>
      </c>
      <c r="BK185" s="273">
        <v>2601480.1687676753</v>
      </c>
      <c r="BL185" s="273">
        <v>6485.91</v>
      </c>
    </row>
    <row r="186" spans="6:64" s="273" customFormat="1" ht="12.75">
      <c r="F186" s="273">
        <v>304</v>
      </c>
      <c r="G186" s="273" t="s">
        <v>122</v>
      </c>
      <c r="H186" s="273">
        <v>37</v>
      </c>
      <c r="I186" s="273">
        <v>8</v>
      </c>
      <c r="J186" s="273">
        <v>33</v>
      </c>
      <c r="K186" s="273">
        <v>29</v>
      </c>
      <c r="L186" s="273">
        <v>585</v>
      </c>
      <c r="M186" s="273">
        <v>147</v>
      </c>
      <c r="N186" s="273">
        <v>71</v>
      </c>
      <c r="O186" s="273">
        <v>46</v>
      </c>
      <c r="P186" s="273">
        <v>886</v>
      </c>
      <c r="Q186" s="273">
        <v>0</v>
      </c>
      <c r="R186" s="273">
        <v>1</v>
      </c>
      <c r="S186" s="273">
        <v>165.76</v>
      </c>
      <c r="T186" s="273">
        <v>5.34507722007722</v>
      </c>
      <c r="U186" s="273">
        <v>2</v>
      </c>
      <c r="V186" s="273">
        <v>0</v>
      </c>
      <c r="W186" s="273">
        <v>356</v>
      </c>
      <c r="X186" s="273">
        <v>37</v>
      </c>
      <c r="Y186" s="273">
        <v>8</v>
      </c>
      <c r="Z186" s="273">
        <v>0.9177622663565244</v>
      </c>
      <c r="AA186" s="273">
        <v>0</v>
      </c>
      <c r="AB186" s="273">
        <v>2</v>
      </c>
      <c r="AC186" s="273">
        <v>1.4603819124979782</v>
      </c>
      <c r="AD186" s="273">
        <v>66</v>
      </c>
      <c r="AE186" s="273">
        <v>3</v>
      </c>
      <c r="AF186" s="273">
        <v>1</v>
      </c>
      <c r="AG186" s="273">
        <v>0</v>
      </c>
      <c r="AH186" s="273">
        <v>70</v>
      </c>
      <c r="AI186" s="273">
        <v>1.5709118484190832</v>
      </c>
      <c r="AJ186" s="273">
        <v>384</v>
      </c>
      <c r="AK186" s="273">
        <v>22</v>
      </c>
      <c r="AL186" s="273">
        <v>0.6061606738196073</v>
      </c>
      <c r="AM186" s="273">
        <v>1.10771845382848</v>
      </c>
      <c r="AN186" s="273">
        <v>0.05</v>
      </c>
      <c r="AO186" s="273">
        <v>0</v>
      </c>
      <c r="AP186" s="273">
        <f t="shared" si="1"/>
        <v>0.05</v>
      </c>
      <c r="AQ186" s="273">
        <v>44742.655345892534</v>
      </c>
      <c r="AR186" s="273">
        <v>345455.5172207793</v>
      </c>
      <c r="AS186" s="273">
        <v>0</v>
      </c>
      <c r="AT186" s="273">
        <v>886</v>
      </c>
      <c r="AU186" s="273">
        <v>2</v>
      </c>
      <c r="AV186" s="273">
        <v>0</v>
      </c>
      <c r="AW186" s="273">
        <v>0</v>
      </c>
      <c r="AX186" s="273">
        <v>0.5266666666666666</v>
      </c>
      <c r="AY186" s="273">
        <v>165.76</v>
      </c>
      <c r="AZ186" s="273">
        <v>5.34507722007722</v>
      </c>
      <c r="BA186" s="273">
        <v>327</v>
      </c>
      <c r="BB186" s="273">
        <v>0.3690744920993228</v>
      </c>
      <c r="BC186" s="273">
        <v>0</v>
      </c>
      <c r="BD186" s="273">
        <v>0</v>
      </c>
      <c r="BE186" s="273">
        <v>910</v>
      </c>
      <c r="BF186" s="273">
        <v>886</v>
      </c>
      <c r="BG186" s="273">
        <v>-0.026373626373626374</v>
      </c>
      <c r="BH186" s="273">
        <v>0</v>
      </c>
      <c r="BI186" s="273">
        <v>0</v>
      </c>
      <c r="BJ186" s="273">
        <v>0</v>
      </c>
      <c r="BK186" s="273">
        <v>212743.96294108406</v>
      </c>
      <c r="BL186" s="273">
        <v>7597.59</v>
      </c>
    </row>
    <row r="187" spans="6:64" s="273" customFormat="1" ht="12.75">
      <c r="F187" s="273">
        <v>305</v>
      </c>
      <c r="G187" s="273" t="s">
        <v>123</v>
      </c>
      <c r="H187" s="273">
        <v>1225</v>
      </c>
      <c r="I187" s="273">
        <v>199</v>
      </c>
      <c r="J187" s="273">
        <v>1021</v>
      </c>
      <c r="K187" s="273">
        <v>658</v>
      </c>
      <c r="L187" s="273">
        <v>11880</v>
      </c>
      <c r="M187" s="273">
        <v>1779</v>
      </c>
      <c r="N187" s="273">
        <v>1131</v>
      </c>
      <c r="O187" s="273">
        <v>358</v>
      </c>
      <c r="P187" s="273">
        <v>16373</v>
      </c>
      <c r="Q187" s="273">
        <v>2</v>
      </c>
      <c r="R187" s="273">
        <v>14</v>
      </c>
      <c r="S187" s="273">
        <v>4978.14</v>
      </c>
      <c r="T187" s="273">
        <v>3.288979418015564</v>
      </c>
      <c r="U187" s="273">
        <v>0</v>
      </c>
      <c r="V187" s="273">
        <v>0</v>
      </c>
      <c r="W187" s="273">
        <v>6259</v>
      </c>
      <c r="X187" s="273">
        <v>457</v>
      </c>
      <c r="Y187" s="273">
        <v>76</v>
      </c>
      <c r="Z187" s="273">
        <v>0.9610947365969494</v>
      </c>
      <c r="AA187" s="273">
        <v>31</v>
      </c>
      <c r="AB187" s="273">
        <v>31</v>
      </c>
      <c r="AC187" s="273">
        <v>1.2249083738065558</v>
      </c>
      <c r="AD187" s="273">
        <v>1037</v>
      </c>
      <c r="AE187" s="273">
        <v>92</v>
      </c>
      <c r="AF187" s="273">
        <v>47</v>
      </c>
      <c r="AG187" s="273">
        <v>5</v>
      </c>
      <c r="AH187" s="273">
        <v>1181</v>
      </c>
      <c r="AI187" s="273">
        <v>1.4341980675352997</v>
      </c>
      <c r="AJ187" s="273">
        <v>7292</v>
      </c>
      <c r="AK187" s="273">
        <v>849</v>
      </c>
      <c r="AL187" s="273">
        <v>1.2318485902107734</v>
      </c>
      <c r="AM187" s="273">
        <v>1.55012999350615</v>
      </c>
      <c r="AN187" s="273">
        <v>0.05</v>
      </c>
      <c r="AO187" s="273">
        <v>0</v>
      </c>
      <c r="AP187" s="273">
        <f t="shared" si="1"/>
        <v>0.05</v>
      </c>
      <c r="AQ187" s="273">
        <v>-579082.7256268188</v>
      </c>
      <c r="AR187" s="273">
        <v>8628722.331876906</v>
      </c>
      <c r="AS187" s="273">
        <v>1</v>
      </c>
      <c r="AT187" s="273">
        <v>16373</v>
      </c>
      <c r="AU187" s="273">
        <v>0</v>
      </c>
      <c r="AV187" s="273">
        <v>0</v>
      </c>
      <c r="AW187" s="273">
        <v>0</v>
      </c>
      <c r="AX187" s="273">
        <v>0.7109333333333334</v>
      </c>
      <c r="AY187" s="273">
        <v>4978.14</v>
      </c>
      <c r="AZ187" s="273">
        <v>3.288979418015564</v>
      </c>
      <c r="BA187" s="273">
        <v>10358</v>
      </c>
      <c r="BB187" s="273">
        <v>0.6326268857265009</v>
      </c>
      <c r="BC187" s="273">
        <v>0</v>
      </c>
      <c r="BD187" s="273">
        <v>0</v>
      </c>
      <c r="BE187" s="273">
        <v>16775</v>
      </c>
      <c r="BF187" s="273">
        <v>16373</v>
      </c>
      <c r="BG187" s="273">
        <v>-0.023964232488822654</v>
      </c>
      <c r="BH187" s="273">
        <v>0</v>
      </c>
      <c r="BI187" s="273">
        <v>4</v>
      </c>
      <c r="BJ187" s="273">
        <v>0.00024430464789592624</v>
      </c>
      <c r="BK187" s="273">
        <v>3152159.8549708594</v>
      </c>
      <c r="BL187" s="273">
        <v>7739.95</v>
      </c>
    </row>
    <row r="188" spans="6:64" s="273" customFormat="1" ht="12.75">
      <c r="F188" s="273">
        <v>312</v>
      </c>
      <c r="G188" s="273" t="s">
        <v>124</v>
      </c>
      <c r="H188" s="273">
        <v>103</v>
      </c>
      <c r="I188" s="273">
        <v>16</v>
      </c>
      <c r="J188" s="273">
        <v>97</v>
      </c>
      <c r="K188" s="273">
        <v>48</v>
      </c>
      <c r="L188" s="273">
        <v>1017</v>
      </c>
      <c r="M188" s="273">
        <v>192</v>
      </c>
      <c r="N188" s="273">
        <v>131</v>
      </c>
      <c r="O188" s="273">
        <v>60</v>
      </c>
      <c r="P188" s="273">
        <v>1503</v>
      </c>
      <c r="Q188" s="273">
        <v>0</v>
      </c>
      <c r="R188" s="273">
        <v>0</v>
      </c>
      <c r="S188" s="273">
        <v>448.22</v>
      </c>
      <c r="T188" s="273">
        <v>3.3532640221319885</v>
      </c>
      <c r="U188" s="273">
        <v>0</v>
      </c>
      <c r="V188" s="273">
        <v>0</v>
      </c>
      <c r="W188" s="273">
        <v>556</v>
      </c>
      <c r="X188" s="273">
        <v>96</v>
      </c>
      <c r="Y188" s="273">
        <v>15</v>
      </c>
      <c r="Z188" s="273">
        <v>0.8408238580362754</v>
      </c>
      <c r="AA188" s="273">
        <v>3</v>
      </c>
      <c r="AB188" s="273">
        <v>2</v>
      </c>
      <c r="AC188" s="273">
        <v>0.8608771619914896</v>
      </c>
      <c r="AD188" s="273">
        <v>101</v>
      </c>
      <c r="AE188" s="273">
        <v>10</v>
      </c>
      <c r="AF188" s="273">
        <v>2</v>
      </c>
      <c r="AG188" s="273">
        <v>1</v>
      </c>
      <c r="AH188" s="273">
        <v>114</v>
      </c>
      <c r="AI188" s="273">
        <v>1.5081112093690818</v>
      </c>
      <c r="AJ188" s="273">
        <v>647</v>
      </c>
      <c r="AK188" s="273">
        <v>63</v>
      </c>
      <c r="AL188" s="273">
        <v>1.0302261501365702</v>
      </c>
      <c r="AM188" s="273">
        <v>1.52697199688222</v>
      </c>
      <c r="AN188" s="273">
        <v>0.05</v>
      </c>
      <c r="AO188" s="273">
        <v>0</v>
      </c>
      <c r="AP188" s="273">
        <f t="shared" si="1"/>
        <v>0.05</v>
      </c>
      <c r="AQ188" s="273">
        <v>-17635.270867861807</v>
      </c>
      <c r="AR188" s="273">
        <v>923297.5325157895</v>
      </c>
      <c r="AS188" s="273">
        <v>1</v>
      </c>
      <c r="AT188" s="273">
        <v>1503</v>
      </c>
      <c r="AU188" s="273">
        <v>0</v>
      </c>
      <c r="AV188" s="273">
        <v>0</v>
      </c>
      <c r="AW188" s="273">
        <v>0</v>
      </c>
      <c r="AX188" s="273">
        <v>0.7863166666666667</v>
      </c>
      <c r="AY188" s="273">
        <v>448.22</v>
      </c>
      <c r="AZ188" s="273">
        <v>3.3532640221319885</v>
      </c>
      <c r="BA188" s="273">
        <v>885</v>
      </c>
      <c r="BB188" s="273">
        <v>0.5888223552894212</v>
      </c>
      <c r="BC188" s="273">
        <v>0</v>
      </c>
      <c r="BD188" s="273">
        <v>0</v>
      </c>
      <c r="BE188" s="273">
        <v>1558</v>
      </c>
      <c r="BF188" s="273">
        <v>1503</v>
      </c>
      <c r="BG188" s="273">
        <v>-0.03530166880616174</v>
      </c>
      <c r="BH188" s="273">
        <v>0</v>
      </c>
      <c r="BI188" s="273">
        <v>0</v>
      </c>
      <c r="BJ188" s="273">
        <v>0</v>
      </c>
      <c r="BK188" s="273">
        <v>339044.1145172171</v>
      </c>
      <c r="BL188" s="273">
        <v>7718.84</v>
      </c>
    </row>
    <row r="189" spans="6:64" s="273" customFormat="1" ht="12.75">
      <c r="F189" s="273">
        <v>316</v>
      </c>
      <c r="G189" s="273" t="s">
        <v>125</v>
      </c>
      <c r="H189" s="273">
        <v>329</v>
      </c>
      <c r="I189" s="273">
        <v>43</v>
      </c>
      <c r="J189" s="273">
        <v>321</v>
      </c>
      <c r="K189" s="273">
        <v>175</v>
      </c>
      <c r="L189" s="273">
        <v>3529</v>
      </c>
      <c r="M189" s="273">
        <v>545</v>
      </c>
      <c r="N189" s="273">
        <v>290</v>
      </c>
      <c r="O189" s="273">
        <v>105</v>
      </c>
      <c r="P189" s="273">
        <v>4798</v>
      </c>
      <c r="Q189" s="273">
        <v>1</v>
      </c>
      <c r="R189" s="273">
        <v>15</v>
      </c>
      <c r="S189" s="273">
        <v>256.47</v>
      </c>
      <c r="T189" s="273">
        <v>18.707841073029982</v>
      </c>
      <c r="U189" s="273">
        <v>0</v>
      </c>
      <c r="V189" s="273">
        <v>0</v>
      </c>
      <c r="W189" s="273">
        <v>1977</v>
      </c>
      <c r="X189" s="273">
        <v>172</v>
      </c>
      <c r="Y189" s="273">
        <v>25</v>
      </c>
      <c r="Z189" s="273">
        <v>0.9458736774267459</v>
      </c>
      <c r="AA189" s="273">
        <v>12</v>
      </c>
      <c r="AB189" s="273">
        <v>12</v>
      </c>
      <c r="AC189" s="273">
        <v>1.6180471544058468</v>
      </c>
      <c r="AD189" s="273">
        <v>199</v>
      </c>
      <c r="AE189" s="273">
        <v>24</v>
      </c>
      <c r="AF189" s="273">
        <v>5</v>
      </c>
      <c r="AG189" s="273">
        <v>0</v>
      </c>
      <c r="AH189" s="273">
        <v>228</v>
      </c>
      <c r="AI189" s="273">
        <v>0.9448483316722508</v>
      </c>
      <c r="AJ189" s="273">
        <v>2316</v>
      </c>
      <c r="AK189" s="273">
        <v>195</v>
      </c>
      <c r="AL189" s="273">
        <v>0.8908249186609396</v>
      </c>
      <c r="AM189" s="273">
        <v>0.953963477180076</v>
      </c>
      <c r="AN189" s="273">
        <v>0</v>
      </c>
      <c r="AO189" s="273">
        <v>0</v>
      </c>
      <c r="AP189" s="273">
        <f t="shared" si="1"/>
        <v>0</v>
      </c>
      <c r="AQ189" s="273">
        <v>-35237.641212861985</v>
      </c>
      <c r="AR189" s="273">
        <v>2175009.434933337</v>
      </c>
      <c r="AS189" s="273">
        <v>1</v>
      </c>
      <c r="AT189" s="273">
        <v>4798</v>
      </c>
      <c r="AU189" s="273">
        <v>0</v>
      </c>
      <c r="AV189" s="273">
        <v>0</v>
      </c>
      <c r="AW189" s="273">
        <v>0</v>
      </c>
      <c r="AX189" s="273">
        <v>0</v>
      </c>
      <c r="AY189" s="273">
        <v>256.47</v>
      </c>
      <c r="AZ189" s="273">
        <v>18.707841073029982</v>
      </c>
      <c r="BA189" s="273">
        <v>3150</v>
      </c>
      <c r="BB189" s="273">
        <v>0.6565235514797833</v>
      </c>
      <c r="BC189" s="273">
        <v>0</v>
      </c>
      <c r="BD189" s="273">
        <v>0</v>
      </c>
      <c r="BE189" s="273">
        <v>4927</v>
      </c>
      <c r="BF189" s="273">
        <v>4798</v>
      </c>
      <c r="BG189" s="273">
        <v>-0.026182261010757053</v>
      </c>
      <c r="BH189" s="273">
        <v>0</v>
      </c>
      <c r="BI189" s="273">
        <v>0</v>
      </c>
      <c r="BJ189" s="273">
        <v>0</v>
      </c>
      <c r="BK189" s="273">
        <v>808300.6517537958</v>
      </c>
      <c r="BL189" s="273">
        <v>6404.36</v>
      </c>
    </row>
    <row r="190" spans="6:64" s="273" customFormat="1" ht="12.75">
      <c r="F190" s="273">
        <v>317</v>
      </c>
      <c r="G190" s="273" t="s">
        <v>126</v>
      </c>
      <c r="H190" s="273">
        <v>233</v>
      </c>
      <c r="I190" s="273">
        <v>29</v>
      </c>
      <c r="J190" s="273">
        <v>223</v>
      </c>
      <c r="K190" s="273">
        <v>95</v>
      </c>
      <c r="L190" s="273">
        <v>1968</v>
      </c>
      <c r="M190" s="273">
        <v>342</v>
      </c>
      <c r="N190" s="273">
        <v>204</v>
      </c>
      <c r="O190" s="273">
        <v>72</v>
      </c>
      <c r="P190" s="273">
        <v>2819</v>
      </c>
      <c r="Q190" s="273">
        <v>0</v>
      </c>
      <c r="R190" s="273">
        <v>0</v>
      </c>
      <c r="S190" s="273">
        <v>695.93</v>
      </c>
      <c r="T190" s="273">
        <v>4.050694753782708</v>
      </c>
      <c r="U190" s="273">
        <v>0</v>
      </c>
      <c r="V190" s="273">
        <v>0</v>
      </c>
      <c r="W190" s="273">
        <v>962</v>
      </c>
      <c r="X190" s="273">
        <v>236</v>
      </c>
      <c r="Y190" s="273">
        <v>14</v>
      </c>
      <c r="Z190" s="273">
        <v>0.7775435593649382</v>
      </c>
      <c r="AA190" s="273">
        <v>4</v>
      </c>
      <c r="AB190" s="273">
        <v>2</v>
      </c>
      <c r="AC190" s="273">
        <v>0.45899197391742064</v>
      </c>
      <c r="AD190" s="273">
        <v>182</v>
      </c>
      <c r="AE190" s="273">
        <v>17</v>
      </c>
      <c r="AF190" s="273">
        <v>8</v>
      </c>
      <c r="AG190" s="273">
        <v>1</v>
      </c>
      <c r="AH190" s="273">
        <v>208</v>
      </c>
      <c r="AI190" s="273">
        <v>1.4670866199840673</v>
      </c>
      <c r="AJ190" s="273">
        <v>1168</v>
      </c>
      <c r="AK190" s="273">
        <v>122</v>
      </c>
      <c r="AL190" s="273">
        <v>1.1051297963535556</v>
      </c>
      <c r="AM190" s="273">
        <v>1.7338210321501</v>
      </c>
      <c r="AN190" s="273">
        <v>0.05</v>
      </c>
      <c r="AO190" s="273">
        <v>0</v>
      </c>
      <c r="AP190" s="273">
        <f t="shared" si="1"/>
        <v>0.05</v>
      </c>
      <c r="AQ190" s="273">
        <v>49000.51558020711</v>
      </c>
      <c r="AR190" s="273">
        <v>2996127.76619759</v>
      </c>
      <c r="AS190" s="273">
        <v>1</v>
      </c>
      <c r="AT190" s="273">
        <v>2819</v>
      </c>
      <c r="AU190" s="273">
        <v>0</v>
      </c>
      <c r="AV190" s="273">
        <v>0</v>
      </c>
      <c r="AW190" s="273">
        <v>0</v>
      </c>
      <c r="AX190" s="273">
        <v>0.8543666666666667</v>
      </c>
      <c r="AY190" s="273">
        <v>695.93</v>
      </c>
      <c r="AZ190" s="273">
        <v>4.050694753782708</v>
      </c>
      <c r="BA190" s="273">
        <v>1245</v>
      </c>
      <c r="BB190" s="273">
        <v>0.44164597374955655</v>
      </c>
      <c r="BC190" s="273">
        <v>0</v>
      </c>
      <c r="BD190" s="273">
        <v>0</v>
      </c>
      <c r="BE190" s="273">
        <v>2970</v>
      </c>
      <c r="BF190" s="273">
        <v>2819</v>
      </c>
      <c r="BG190" s="273">
        <v>-0.05084175084175084</v>
      </c>
      <c r="BH190" s="273">
        <v>0</v>
      </c>
      <c r="BI190" s="273">
        <v>0</v>
      </c>
      <c r="BJ190" s="273">
        <v>0</v>
      </c>
      <c r="BK190" s="273">
        <v>704899.1258556634</v>
      </c>
      <c r="BL190" s="273">
        <v>7413.79</v>
      </c>
    </row>
    <row r="191" spans="6:64" s="273" customFormat="1" ht="12.75">
      <c r="F191" s="273">
        <v>319</v>
      </c>
      <c r="G191" s="273" t="s">
        <v>127</v>
      </c>
      <c r="H191" s="273">
        <v>180</v>
      </c>
      <c r="I191" s="273">
        <v>30</v>
      </c>
      <c r="J191" s="273">
        <v>170</v>
      </c>
      <c r="K191" s="273">
        <v>99</v>
      </c>
      <c r="L191" s="273">
        <v>1955</v>
      </c>
      <c r="M191" s="273">
        <v>349</v>
      </c>
      <c r="N191" s="273">
        <v>237</v>
      </c>
      <c r="O191" s="273">
        <v>83</v>
      </c>
      <c r="P191" s="273">
        <v>2804</v>
      </c>
      <c r="Q191" s="273">
        <v>0</v>
      </c>
      <c r="R191" s="273">
        <v>1</v>
      </c>
      <c r="S191" s="273">
        <v>246.06</v>
      </c>
      <c r="T191" s="273">
        <v>11.395594570429976</v>
      </c>
      <c r="U191" s="273">
        <v>0</v>
      </c>
      <c r="V191" s="273">
        <v>0</v>
      </c>
      <c r="W191" s="273">
        <v>1198</v>
      </c>
      <c r="X191" s="273">
        <v>188</v>
      </c>
      <c r="Y191" s="273">
        <v>11</v>
      </c>
      <c r="Z191" s="273">
        <v>0.8760491587160266</v>
      </c>
      <c r="AA191" s="273">
        <v>10</v>
      </c>
      <c r="AB191" s="273">
        <v>10</v>
      </c>
      <c r="AC191" s="273">
        <v>2.3072367590463783</v>
      </c>
      <c r="AD191" s="273">
        <v>138</v>
      </c>
      <c r="AE191" s="273">
        <v>22</v>
      </c>
      <c r="AF191" s="273">
        <v>5</v>
      </c>
      <c r="AG191" s="273">
        <v>1</v>
      </c>
      <c r="AH191" s="273">
        <v>166</v>
      </c>
      <c r="AI191" s="273">
        <v>1.1771114276446153</v>
      </c>
      <c r="AJ191" s="273">
        <v>1295</v>
      </c>
      <c r="AK191" s="273">
        <v>76</v>
      </c>
      <c r="AL191" s="273">
        <v>0.6209263989031737</v>
      </c>
      <c r="AM191" s="273">
        <v>0.923702263769691</v>
      </c>
      <c r="AN191" s="273">
        <v>0</v>
      </c>
      <c r="AO191" s="273">
        <v>0</v>
      </c>
      <c r="AP191" s="273">
        <f t="shared" si="1"/>
        <v>0</v>
      </c>
      <c r="AQ191" s="273">
        <v>-70271.1558063794</v>
      </c>
      <c r="AR191" s="273">
        <v>999386.813464998</v>
      </c>
      <c r="AS191" s="273">
        <v>1</v>
      </c>
      <c r="AT191" s="273">
        <v>2804</v>
      </c>
      <c r="AU191" s="273">
        <v>0</v>
      </c>
      <c r="AV191" s="273">
        <v>0</v>
      </c>
      <c r="AW191" s="273">
        <v>0</v>
      </c>
      <c r="AX191" s="273">
        <v>0</v>
      </c>
      <c r="AY191" s="273">
        <v>246.06</v>
      </c>
      <c r="AZ191" s="273">
        <v>11.395594570429976</v>
      </c>
      <c r="BA191" s="273">
        <v>1354</v>
      </c>
      <c r="BB191" s="273">
        <v>0.48288159771754635</v>
      </c>
      <c r="BC191" s="273">
        <v>0</v>
      </c>
      <c r="BD191" s="273">
        <v>0</v>
      </c>
      <c r="BE191" s="273">
        <v>2863</v>
      </c>
      <c r="BF191" s="273">
        <v>2804</v>
      </c>
      <c r="BG191" s="273">
        <v>-0.020607754104086624</v>
      </c>
      <c r="BH191" s="273">
        <v>0</v>
      </c>
      <c r="BI191" s="273">
        <v>0</v>
      </c>
      <c r="BJ191" s="273">
        <v>0</v>
      </c>
      <c r="BK191" s="273">
        <v>499444.17416175135</v>
      </c>
      <c r="BL191" s="273">
        <v>6702.36</v>
      </c>
    </row>
    <row r="192" spans="6:64" s="273" customFormat="1" ht="12.75">
      <c r="F192" s="273">
        <v>398</v>
      </c>
      <c r="G192" s="273" t="s">
        <v>128</v>
      </c>
      <c r="H192" s="273">
        <v>7068</v>
      </c>
      <c r="I192" s="273">
        <v>992</v>
      </c>
      <c r="J192" s="273">
        <v>5694</v>
      </c>
      <c r="K192" s="273">
        <v>2998</v>
      </c>
      <c r="L192" s="273">
        <v>75059</v>
      </c>
      <c r="M192" s="273">
        <v>11386</v>
      </c>
      <c r="N192" s="273">
        <v>6453</v>
      </c>
      <c r="O192" s="273">
        <v>2342</v>
      </c>
      <c r="P192" s="273">
        <v>102308</v>
      </c>
      <c r="Q192" s="273">
        <v>16</v>
      </c>
      <c r="R192" s="273">
        <v>569</v>
      </c>
      <c r="S192" s="273">
        <v>135.05</v>
      </c>
      <c r="T192" s="273">
        <v>757.5564605701592</v>
      </c>
      <c r="U192" s="273">
        <v>0</v>
      </c>
      <c r="V192" s="273">
        <v>0</v>
      </c>
      <c r="W192" s="273">
        <v>40885</v>
      </c>
      <c r="X192" s="273">
        <v>164</v>
      </c>
      <c r="Y192" s="273">
        <v>401</v>
      </c>
      <c r="Z192" s="273">
        <v>1.0360395344875846</v>
      </c>
      <c r="AA192" s="273">
        <v>198</v>
      </c>
      <c r="AB192" s="273">
        <v>198</v>
      </c>
      <c r="AC192" s="273">
        <v>1.252061804285566</v>
      </c>
      <c r="AD192" s="273">
        <v>3774</v>
      </c>
      <c r="AE192" s="273">
        <v>527</v>
      </c>
      <c r="AF192" s="273">
        <v>132</v>
      </c>
      <c r="AG192" s="273">
        <v>2</v>
      </c>
      <c r="AH192" s="273">
        <v>4435</v>
      </c>
      <c r="AI192" s="273">
        <v>0.8619290666134795</v>
      </c>
      <c r="AJ192" s="273">
        <v>48924</v>
      </c>
      <c r="AK192" s="273">
        <v>6589</v>
      </c>
      <c r="AL192" s="273">
        <v>1.4249310517260527</v>
      </c>
      <c r="AM192" s="273">
        <v>1.0841230860241</v>
      </c>
      <c r="AN192" s="273">
        <v>0</v>
      </c>
      <c r="AO192" s="273">
        <v>0</v>
      </c>
      <c r="AP192" s="273">
        <f t="shared" si="1"/>
        <v>0</v>
      </c>
      <c r="AQ192" s="273">
        <v>-109895.07826721668</v>
      </c>
      <c r="AR192" s="273">
        <v>-2041634.9412035411</v>
      </c>
      <c r="AS192" s="273">
        <v>1</v>
      </c>
      <c r="AT192" s="273">
        <v>102308</v>
      </c>
      <c r="AU192" s="273">
        <v>0</v>
      </c>
      <c r="AV192" s="273">
        <v>0</v>
      </c>
      <c r="AW192" s="273">
        <v>0</v>
      </c>
      <c r="AX192" s="273">
        <v>0</v>
      </c>
      <c r="AY192" s="273">
        <v>135.05</v>
      </c>
      <c r="AZ192" s="273">
        <v>757.5564605701592</v>
      </c>
      <c r="BA192" s="273">
        <v>100689</v>
      </c>
      <c r="BB192" s="273">
        <v>0.9841752355632013</v>
      </c>
      <c r="BC192" s="273">
        <v>0</v>
      </c>
      <c r="BD192" s="273">
        <v>0</v>
      </c>
      <c r="BE192" s="273">
        <v>100080</v>
      </c>
      <c r="BF192" s="273">
        <v>102308</v>
      </c>
      <c r="BG192" s="273">
        <v>0.02226219024780176</v>
      </c>
      <c r="BH192" s="273">
        <v>0</v>
      </c>
      <c r="BI192" s="273">
        <v>8</v>
      </c>
      <c r="BJ192" s="273">
        <v>7.819525354810962E-05</v>
      </c>
      <c r="BK192" s="273">
        <v>19198587.455400962</v>
      </c>
      <c r="BL192" s="273">
        <v>5929.75</v>
      </c>
    </row>
    <row r="193" spans="6:64" s="273" customFormat="1" ht="12.75">
      <c r="F193" s="273">
        <v>399</v>
      </c>
      <c r="G193" s="273" t="s">
        <v>129</v>
      </c>
      <c r="H193" s="273">
        <v>769</v>
      </c>
      <c r="I193" s="273">
        <v>99</v>
      </c>
      <c r="J193" s="273">
        <v>578</v>
      </c>
      <c r="K193" s="273">
        <v>262</v>
      </c>
      <c r="L193" s="273">
        <v>5710</v>
      </c>
      <c r="M193" s="273">
        <v>751</v>
      </c>
      <c r="N193" s="273">
        <v>479</v>
      </c>
      <c r="O193" s="273">
        <v>224</v>
      </c>
      <c r="P193" s="273">
        <v>7933</v>
      </c>
      <c r="Q193" s="273">
        <v>13</v>
      </c>
      <c r="R193" s="273">
        <v>8</v>
      </c>
      <c r="S193" s="273">
        <v>504.24</v>
      </c>
      <c r="T193" s="273">
        <v>15.732587656671425</v>
      </c>
      <c r="U193" s="273">
        <v>0</v>
      </c>
      <c r="V193" s="273">
        <v>0</v>
      </c>
      <c r="W193" s="273">
        <v>3458</v>
      </c>
      <c r="X193" s="273">
        <v>188</v>
      </c>
      <c r="Y193" s="273">
        <v>42</v>
      </c>
      <c r="Z193" s="273">
        <v>0.9806823155815532</v>
      </c>
      <c r="AA193" s="273">
        <v>4</v>
      </c>
      <c r="AB193" s="273">
        <v>2</v>
      </c>
      <c r="AC193" s="273">
        <v>0.163103286836406</v>
      </c>
      <c r="AD193" s="273">
        <v>391</v>
      </c>
      <c r="AE193" s="273">
        <v>46</v>
      </c>
      <c r="AF193" s="273">
        <v>22</v>
      </c>
      <c r="AG193" s="273">
        <v>6</v>
      </c>
      <c r="AH193" s="273">
        <v>465</v>
      </c>
      <c r="AI193" s="273">
        <v>1.1654750903642614</v>
      </c>
      <c r="AJ193" s="273">
        <v>3785</v>
      </c>
      <c r="AK193" s="273">
        <v>225</v>
      </c>
      <c r="AL193" s="273">
        <v>0.6289453851088516</v>
      </c>
      <c r="AM193" s="273">
        <v>1.01797284976884</v>
      </c>
      <c r="AN193" s="273">
        <v>0</v>
      </c>
      <c r="AO193" s="273">
        <v>0</v>
      </c>
      <c r="AP193" s="273">
        <f t="shared" si="1"/>
        <v>0</v>
      </c>
      <c r="AQ193" s="273">
        <v>-82669.05663659237</v>
      </c>
      <c r="AR193" s="273">
        <v>920618.3761846139</v>
      </c>
      <c r="AS193" s="273">
        <v>0</v>
      </c>
      <c r="AT193" s="273">
        <v>7933</v>
      </c>
      <c r="AU193" s="273">
        <v>0</v>
      </c>
      <c r="AV193" s="273">
        <v>0</v>
      </c>
      <c r="AW193" s="273">
        <v>0</v>
      </c>
      <c r="AX193" s="273">
        <v>0</v>
      </c>
      <c r="AY193" s="273">
        <v>504.24</v>
      </c>
      <c r="AZ193" s="273">
        <v>15.732587656671425</v>
      </c>
      <c r="BA193" s="273">
        <v>6373</v>
      </c>
      <c r="BB193" s="273">
        <v>0.8033530820622715</v>
      </c>
      <c r="BC193" s="273">
        <v>0</v>
      </c>
      <c r="BD193" s="273">
        <v>0</v>
      </c>
      <c r="BE193" s="273">
        <v>7692</v>
      </c>
      <c r="BF193" s="273">
        <v>7933</v>
      </c>
      <c r="BG193" s="273">
        <v>0.03133125325013</v>
      </c>
      <c r="BH193" s="273">
        <v>0</v>
      </c>
      <c r="BI193" s="273">
        <v>0</v>
      </c>
      <c r="BJ193" s="273">
        <v>0</v>
      </c>
      <c r="BK193" s="273">
        <v>1251259.7714886416</v>
      </c>
      <c r="BL193" s="273">
        <v>6505.07</v>
      </c>
    </row>
    <row r="194" spans="6:64" s="273" customFormat="1" ht="12.75">
      <c r="F194" s="273">
        <v>400</v>
      </c>
      <c r="G194" s="273" t="s">
        <v>130</v>
      </c>
      <c r="H194" s="273">
        <v>668</v>
      </c>
      <c r="I194" s="273">
        <v>94</v>
      </c>
      <c r="J194" s="273">
        <v>586</v>
      </c>
      <c r="K194" s="273">
        <v>274</v>
      </c>
      <c r="L194" s="273">
        <v>5926</v>
      </c>
      <c r="M194" s="273">
        <v>945</v>
      </c>
      <c r="N194" s="273">
        <v>641</v>
      </c>
      <c r="O194" s="273">
        <v>228</v>
      </c>
      <c r="P194" s="273">
        <v>8408</v>
      </c>
      <c r="Q194" s="273">
        <v>4</v>
      </c>
      <c r="R194" s="273">
        <v>26</v>
      </c>
      <c r="S194" s="273">
        <v>531.67</v>
      </c>
      <c r="T194" s="273">
        <v>15.814320913348507</v>
      </c>
      <c r="U194" s="273">
        <v>0</v>
      </c>
      <c r="V194" s="273">
        <v>0</v>
      </c>
      <c r="W194" s="273">
        <v>3546</v>
      </c>
      <c r="X194" s="273">
        <v>366</v>
      </c>
      <c r="Y194" s="273">
        <v>44</v>
      </c>
      <c r="Z194" s="273">
        <v>0.929088596141738</v>
      </c>
      <c r="AA194" s="273">
        <v>13</v>
      </c>
      <c r="AB194" s="273">
        <v>13</v>
      </c>
      <c r="AC194" s="273">
        <v>1.0002782390670621</v>
      </c>
      <c r="AD194" s="273">
        <v>425</v>
      </c>
      <c r="AE194" s="273">
        <v>64</v>
      </c>
      <c r="AF194" s="273">
        <v>13</v>
      </c>
      <c r="AG194" s="273">
        <v>6</v>
      </c>
      <c r="AH194" s="273">
        <v>508</v>
      </c>
      <c r="AI194" s="273">
        <v>1.201319444119968</v>
      </c>
      <c r="AJ194" s="273">
        <v>3938</v>
      </c>
      <c r="AK194" s="273">
        <v>240</v>
      </c>
      <c r="AL194" s="273">
        <v>0.6448100985642805</v>
      </c>
      <c r="AM194" s="273">
        <v>1.16575174095131</v>
      </c>
      <c r="AN194" s="273">
        <v>0</v>
      </c>
      <c r="AO194" s="273">
        <v>0</v>
      </c>
      <c r="AP194" s="273">
        <f t="shared" si="1"/>
        <v>0</v>
      </c>
      <c r="AQ194" s="273">
        <v>84422.16206699982</v>
      </c>
      <c r="AR194" s="273">
        <v>2255192.0909670824</v>
      </c>
      <c r="AS194" s="273">
        <v>1</v>
      </c>
      <c r="AT194" s="273">
        <v>8408</v>
      </c>
      <c r="AU194" s="273">
        <v>0</v>
      </c>
      <c r="AV194" s="273">
        <v>0</v>
      </c>
      <c r="AW194" s="273">
        <v>0</v>
      </c>
      <c r="AX194" s="273">
        <v>0</v>
      </c>
      <c r="AY194" s="273">
        <v>531.67</v>
      </c>
      <c r="AZ194" s="273">
        <v>15.814320913348507</v>
      </c>
      <c r="BA194" s="273">
        <v>5562</v>
      </c>
      <c r="BB194" s="273">
        <v>0.6615128449096099</v>
      </c>
      <c r="BC194" s="273">
        <v>0</v>
      </c>
      <c r="BD194" s="273">
        <v>0</v>
      </c>
      <c r="BE194" s="273">
        <v>8470</v>
      </c>
      <c r="BF194" s="273">
        <v>8408</v>
      </c>
      <c r="BG194" s="273">
        <v>-0.007319952774498229</v>
      </c>
      <c r="BH194" s="273">
        <v>0</v>
      </c>
      <c r="BI194" s="273">
        <v>0</v>
      </c>
      <c r="BJ194" s="273">
        <v>0</v>
      </c>
      <c r="BK194" s="273">
        <v>1582318.2115070615</v>
      </c>
      <c r="BL194" s="273">
        <v>6519.27</v>
      </c>
    </row>
    <row r="195" spans="6:64" s="273" customFormat="1" ht="12.75">
      <c r="F195" s="273">
        <v>407</v>
      </c>
      <c r="G195" s="273" t="s">
        <v>131</v>
      </c>
      <c r="H195" s="273">
        <v>184</v>
      </c>
      <c r="I195" s="273">
        <v>18</v>
      </c>
      <c r="J195" s="273">
        <v>193</v>
      </c>
      <c r="K195" s="273">
        <v>89</v>
      </c>
      <c r="L195" s="273">
        <v>1992</v>
      </c>
      <c r="M195" s="273">
        <v>359</v>
      </c>
      <c r="N195" s="273">
        <v>213</v>
      </c>
      <c r="O195" s="273">
        <v>100</v>
      </c>
      <c r="P195" s="273">
        <v>2848</v>
      </c>
      <c r="Q195" s="273">
        <v>98</v>
      </c>
      <c r="R195" s="273">
        <v>3</v>
      </c>
      <c r="S195" s="273">
        <v>329.9</v>
      </c>
      <c r="T195" s="273">
        <v>8.632919066383753</v>
      </c>
      <c r="U195" s="273">
        <v>0</v>
      </c>
      <c r="V195" s="273">
        <v>1</v>
      </c>
      <c r="W195" s="273">
        <v>1199</v>
      </c>
      <c r="X195" s="273">
        <v>243</v>
      </c>
      <c r="Y195" s="273">
        <v>14</v>
      </c>
      <c r="Z195" s="273">
        <v>0.8253754107715519</v>
      </c>
      <c r="AA195" s="273">
        <v>2</v>
      </c>
      <c r="AB195" s="273">
        <v>2</v>
      </c>
      <c r="AC195" s="273">
        <v>0.4543182494639076</v>
      </c>
      <c r="AD195" s="273">
        <v>111</v>
      </c>
      <c r="AE195" s="273">
        <v>18</v>
      </c>
      <c r="AF195" s="273">
        <v>2</v>
      </c>
      <c r="AG195" s="273">
        <v>1</v>
      </c>
      <c r="AH195" s="273">
        <v>132</v>
      </c>
      <c r="AI195" s="273">
        <v>0.9215553897286749</v>
      </c>
      <c r="AJ195" s="273">
        <v>1336</v>
      </c>
      <c r="AK195" s="273">
        <v>108</v>
      </c>
      <c r="AL195" s="273">
        <v>0.8552904009474263</v>
      </c>
      <c r="AM195" s="273">
        <v>1.03455251376155</v>
      </c>
      <c r="AN195" s="273">
        <v>0</v>
      </c>
      <c r="AO195" s="273">
        <v>0</v>
      </c>
      <c r="AP195" s="273">
        <f t="shared" si="1"/>
        <v>0</v>
      </c>
      <c r="AQ195" s="273">
        <v>28807.877030804753</v>
      </c>
      <c r="AR195" s="273">
        <v>1495152.110573682</v>
      </c>
      <c r="AS195" s="273">
        <v>1</v>
      </c>
      <c r="AT195" s="273">
        <v>2848</v>
      </c>
      <c r="AU195" s="273">
        <v>0</v>
      </c>
      <c r="AV195" s="273">
        <v>0</v>
      </c>
      <c r="AW195" s="273">
        <v>0</v>
      </c>
      <c r="AX195" s="273">
        <v>0</v>
      </c>
      <c r="AY195" s="273">
        <v>329.9</v>
      </c>
      <c r="AZ195" s="273">
        <v>8.632919066383753</v>
      </c>
      <c r="BA195" s="273">
        <v>975</v>
      </c>
      <c r="BB195" s="273">
        <v>0.34234550561797755</v>
      </c>
      <c r="BC195" s="273">
        <v>1</v>
      </c>
      <c r="BD195" s="273">
        <v>0</v>
      </c>
      <c r="BE195" s="273">
        <v>2934</v>
      </c>
      <c r="BF195" s="273">
        <v>2848</v>
      </c>
      <c r="BG195" s="273">
        <v>-0.02931152010906612</v>
      </c>
      <c r="BH195" s="273">
        <v>0</v>
      </c>
      <c r="BI195" s="273">
        <v>0</v>
      </c>
      <c r="BJ195" s="273">
        <v>0</v>
      </c>
      <c r="BK195" s="273">
        <v>535609.0408255779</v>
      </c>
      <c r="BL195" s="273">
        <v>7445.51</v>
      </c>
    </row>
    <row r="196" spans="6:64" s="273" customFormat="1" ht="12.75">
      <c r="F196" s="273">
        <v>402</v>
      </c>
      <c r="G196" s="273" t="s">
        <v>132</v>
      </c>
      <c r="H196" s="273">
        <v>790</v>
      </c>
      <c r="I196" s="273">
        <v>114</v>
      </c>
      <c r="J196" s="273">
        <v>692</v>
      </c>
      <c r="K196" s="273">
        <v>345</v>
      </c>
      <c r="L196" s="273">
        <v>7350</v>
      </c>
      <c r="M196" s="273">
        <v>1101</v>
      </c>
      <c r="N196" s="273">
        <v>813</v>
      </c>
      <c r="O196" s="273">
        <v>332</v>
      </c>
      <c r="P196" s="273">
        <v>10386</v>
      </c>
      <c r="Q196" s="273">
        <v>4</v>
      </c>
      <c r="R196" s="273">
        <v>12</v>
      </c>
      <c r="S196" s="273">
        <v>1096.53</v>
      </c>
      <c r="T196" s="273">
        <v>9.471697080791223</v>
      </c>
      <c r="U196" s="273">
        <v>0</v>
      </c>
      <c r="V196" s="273">
        <v>0</v>
      </c>
      <c r="W196" s="273">
        <v>3771</v>
      </c>
      <c r="X196" s="273">
        <v>603</v>
      </c>
      <c r="Y196" s="273">
        <v>51</v>
      </c>
      <c r="Z196" s="273">
        <v>0.8683605331149208</v>
      </c>
      <c r="AA196" s="273">
        <v>17</v>
      </c>
      <c r="AB196" s="273">
        <v>17</v>
      </c>
      <c r="AC196" s="273">
        <v>1.0589385887754934</v>
      </c>
      <c r="AD196" s="273">
        <v>771</v>
      </c>
      <c r="AE196" s="273">
        <v>64</v>
      </c>
      <c r="AF196" s="273">
        <v>19</v>
      </c>
      <c r="AG196" s="273">
        <v>3</v>
      </c>
      <c r="AH196" s="273">
        <v>857</v>
      </c>
      <c r="AI196" s="273">
        <v>1.64066533015365</v>
      </c>
      <c r="AJ196" s="273">
        <v>4533</v>
      </c>
      <c r="AK196" s="273">
        <v>541</v>
      </c>
      <c r="AL196" s="273">
        <v>1.2627222892924663</v>
      </c>
      <c r="AM196" s="273">
        <v>1.62631493958269</v>
      </c>
      <c r="AN196" s="273">
        <v>0</v>
      </c>
      <c r="AO196" s="273">
        <v>0</v>
      </c>
      <c r="AP196" s="273">
        <f t="shared" si="1"/>
        <v>0</v>
      </c>
      <c r="AQ196" s="273">
        <v>-103708.25441498868</v>
      </c>
      <c r="AR196" s="273">
        <v>7516944.228929728</v>
      </c>
      <c r="AS196" s="273">
        <v>1</v>
      </c>
      <c r="AT196" s="273">
        <v>10386</v>
      </c>
      <c r="AU196" s="273">
        <v>0</v>
      </c>
      <c r="AV196" s="273">
        <v>0</v>
      </c>
      <c r="AW196" s="273">
        <v>0</v>
      </c>
      <c r="AX196" s="273">
        <v>0</v>
      </c>
      <c r="AY196" s="273">
        <v>1096.53</v>
      </c>
      <c r="AZ196" s="273">
        <v>9.471697080791223</v>
      </c>
      <c r="BA196" s="273">
        <v>5386</v>
      </c>
      <c r="BB196" s="273">
        <v>0.5185827074908531</v>
      </c>
      <c r="BC196" s="273">
        <v>0</v>
      </c>
      <c r="BD196" s="273">
        <v>0</v>
      </c>
      <c r="BE196" s="273">
        <v>10555</v>
      </c>
      <c r="BF196" s="273">
        <v>10386</v>
      </c>
      <c r="BG196" s="273">
        <v>-0.016011369019422076</v>
      </c>
      <c r="BH196" s="273">
        <v>0</v>
      </c>
      <c r="BI196" s="273">
        <v>0</v>
      </c>
      <c r="BJ196" s="273">
        <v>0</v>
      </c>
      <c r="BK196" s="273">
        <v>2209997.748652185</v>
      </c>
      <c r="BL196" s="273">
        <v>6843.8</v>
      </c>
    </row>
    <row r="197" spans="6:64" s="273" customFormat="1" ht="12.75">
      <c r="F197" s="273">
        <v>403</v>
      </c>
      <c r="G197" s="273" t="s">
        <v>133</v>
      </c>
      <c r="H197" s="273">
        <v>198</v>
      </c>
      <c r="I197" s="273">
        <v>24</v>
      </c>
      <c r="J197" s="273">
        <v>169</v>
      </c>
      <c r="K197" s="273">
        <v>105</v>
      </c>
      <c r="L197" s="273">
        <v>2294</v>
      </c>
      <c r="M197" s="273">
        <v>464</v>
      </c>
      <c r="N197" s="273">
        <v>343</v>
      </c>
      <c r="O197" s="273">
        <v>137</v>
      </c>
      <c r="P197" s="273">
        <v>3436</v>
      </c>
      <c r="Q197" s="273">
        <v>0</v>
      </c>
      <c r="R197" s="273">
        <v>1</v>
      </c>
      <c r="S197" s="273">
        <v>420.86</v>
      </c>
      <c r="T197" s="273">
        <v>8.16423513757544</v>
      </c>
      <c r="U197" s="273">
        <v>0</v>
      </c>
      <c r="V197" s="273">
        <v>0</v>
      </c>
      <c r="W197" s="273">
        <v>1258</v>
      </c>
      <c r="X197" s="273">
        <v>233</v>
      </c>
      <c r="Y197" s="273">
        <v>14</v>
      </c>
      <c r="Z197" s="273">
        <v>0.8442874257050051</v>
      </c>
      <c r="AA197" s="273">
        <v>0</v>
      </c>
      <c r="AB197" s="273">
        <v>2</v>
      </c>
      <c r="AC197" s="273">
        <v>0.3765711217908058</v>
      </c>
      <c r="AD197" s="273">
        <v>286</v>
      </c>
      <c r="AE197" s="273">
        <v>12</v>
      </c>
      <c r="AF197" s="273">
        <v>7</v>
      </c>
      <c r="AG197" s="273">
        <v>1</v>
      </c>
      <c r="AH197" s="273">
        <v>306</v>
      </c>
      <c r="AI197" s="273">
        <v>1.7707439576583577</v>
      </c>
      <c r="AJ197" s="273">
        <v>1424</v>
      </c>
      <c r="AK197" s="273">
        <v>88</v>
      </c>
      <c r="AL197" s="273">
        <v>0.6538362324346326</v>
      </c>
      <c r="AM197" s="273">
        <v>1.23687443652178</v>
      </c>
      <c r="AN197" s="273">
        <v>0</v>
      </c>
      <c r="AO197" s="273">
        <v>0</v>
      </c>
      <c r="AP197" s="273">
        <f t="shared" si="1"/>
        <v>0</v>
      </c>
      <c r="AQ197" s="273">
        <v>48930.923893926665</v>
      </c>
      <c r="AR197" s="273">
        <v>2634479.272715</v>
      </c>
      <c r="AS197" s="273">
        <v>1</v>
      </c>
      <c r="AT197" s="273">
        <v>3436</v>
      </c>
      <c r="AU197" s="273">
        <v>0</v>
      </c>
      <c r="AV197" s="273">
        <v>0</v>
      </c>
      <c r="AW197" s="273">
        <v>0</v>
      </c>
      <c r="AX197" s="273">
        <v>0</v>
      </c>
      <c r="AY197" s="273">
        <v>420.86</v>
      </c>
      <c r="AZ197" s="273">
        <v>8.16423513757544</v>
      </c>
      <c r="BA197" s="273">
        <v>1761</v>
      </c>
      <c r="BB197" s="273">
        <v>0.5125145518044237</v>
      </c>
      <c r="BC197" s="273">
        <v>0</v>
      </c>
      <c r="BD197" s="273">
        <v>0</v>
      </c>
      <c r="BE197" s="273">
        <v>3517</v>
      </c>
      <c r="BF197" s="273">
        <v>3436</v>
      </c>
      <c r="BG197" s="273">
        <v>-0.02303099232300256</v>
      </c>
      <c r="BH197" s="273">
        <v>0</v>
      </c>
      <c r="BI197" s="273">
        <v>0</v>
      </c>
      <c r="BJ197" s="273">
        <v>0</v>
      </c>
      <c r="BK197" s="273">
        <v>713718.9729770003</v>
      </c>
      <c r="BL197" s="273">
        <v>6924.65</v>
      </c>
    </row>
    <row r="198" spans="6:64" s="273" customFormat="1" ht="12.75">
      <c r="F198" s="273">
        <v>405</v>
      </c>
      <c r="G198" s="273" t="s">
        <v>134</v>
      </c>
      <c r="H198" s="273">
        <v>5019</v>
      </c>
      <c r="I198" s="273">
        <v>725</v>
      </c>
      <c r="J198" s="273">
        <v>4160</v>
      </c>
      <c r="K198" s="273">
        <v>2268</v>
      </c>
      <c r="L198" s="273">
        <v>53084</v>
      </c>
      <c r="M198" s="273">
        <v>7483</v>
      </c>
      <c r="N198" s="273">
        <v>4814</v>
      </c>
      <c r="O198" s="273">
        <v>1733</v>
      </c>
      <c r="P198" s="273">
        <v>72133</v>
      </c>
      <c r="Q198" s="273">
        <v>11</v>
      </c>
      <c r="R198" s="273">
        <v>348</v>
      </c>
      <c r="S198" s="273">
        <v>1433.37</v>
      </c>
      <c r="T198" s="273">
        <v>50.32406147749709</v>
      </c>
      <c r="U198" s="273">
        <v>0</v>
      </c>
      <c r="V198" s="273">
        <v>0</v>
      </c>
      <c r="W198" s="273">
        <v>29020</v>
      </c>
      <c r="X198" s="273">
        <v>744</v>
      </c>
      <c r="Y198" s="273">
        <v>282</v>
      </c>
      <c r="Z198" s="273">
        <v>1.0134150669835083</v>
      </c>
      <c r="AA198" s="273">
        <v>115</v>
      </c>
      <c r="AB198" s="273">
        <v>115</v>
      </c>
      <c r="AC198" s="273">
        <v>1.0314163632763023</v>
      </c>
      <c r="AD198" s="273">
        <v>3383</v>
      </c>
      <c r="AE198" s="273">
        <v>412</v>
      </c>
      <c r="AF198" s="273">
        <v>113</v>
      </c>
      <c r="AG198" s="273">
        <v>23</v>
      </c>
      <c r="AH198" s="273">
        <v>3931</v>
      </c>
      <c r="AI198" s="273">
        <v>1.083568936321196</v>
      </c>
      <c r="AJ198" s="273">
        <v>33837</v>
      </c>
      <c r="AK198" s="273">
        <v>4010</v>
      </c>
      <c r="AL198" s="273">
        <v>1.2538593470493355</v>
      </c>
      <c r="AM198" s="273">
        <v>1.04334639536004</v>
      </c>
      <c r="AN198" s="273">
        <v>0</v>
      </c>
      <c r="AO198" s="273">
        <v>0</v>
      </c>
      <c r="AP198" s="273">
        <f t="shared" si="1"/>
        <v>0</v>
      </c>
      <c r="AQ198" s="273">
        <v>997030.4585953057</v>
      </c>
      <c r="AR198" s="273">
        <v>-1199866.9007207693</v>
      </c>
      <c r="AS198" s="273">
        <v>1</v>
      </c>
      <c r="AT198" s="273">
        <v>72133</v>
      </c>
      <c r="AU198" s="273">
        <v>0</v>
      </c>
      <c r="AV198" s="273">
        <v>0</v>
      </c>
      <c r="AW198" s="273">
        <v>0</v>
      </c>
      <c r="AX198" s="273">
        <v>0</v>
      </c>
      <c r="AY198" s="273">
        <v>1433.37</v>
      </c>
      <c r="AZ198" s="273">
        <v>50.32406147749709</v>
      </c>
      <c r="BA198" s="273">
        <v>63224</v>
      </c>
      <c r="BB198" s="273">
        <v>0.8764920355454507</v>
      </c>
      <c r="BC198" s="273">
        <v>0</v>
      </c>
      <c r="BD198" s="273">
        <v>0</v>
      </c>
      <c r="BE198" s="273">
        <v>71740</v>
      </c>
      <c r="BF198" s="273">
        <v>72133</v>
      </c>
      <c r="BG198" s="273">
        <v>0.0054781154167828265</v>
      </c>
      <c r="BH198" s="273">
        <v>0</v>
      </c>
      <c r="BI198" s="273">
        <v>1</v>
      </c>
      <c r="BJ198" s="273">
        <v>1.386328032939154E-05</v>
      </c>
      <c r="BK198" s="273">
        <v>11350822.664290654</v>
      </c>
      <c r="BL198" s="273">
        <v>5917.13</v>
      </c>
    </row>
    <row r="199" spans="6:64" s="273" customFormat="1" ht="12.75">
      <c r="F199" s="273">
        <v>408</v>
      </c>
      <c r="G199" s="273" t="s">
        <v>135</v>
      </c>
      <c r="H199" s="273">
        <v>1261</v>
      </c>
      <c r="I199" s="273">
        <v>193</v>
      </c>
      <c r="J199" s="273">
        <v>1102</v>
      </c>
      <c r="K199" s="273">
        <v>513</v>
      </c>
      <c r="L199" s="273">
        <v>10388</v>
      </c>
      <c r="M199" s="273">
        <v>1423</v>
      </c>
      <c r="N199" s="273">
        <v>1055</v>
      </c>
      <c r="O199" s="273">
        <v>403</v>
      </c>
      <c r="P199" s="273">
        <v>14530</v>
      </c>
      <c r="Q199" s="273">
        <v>3</v>
      </c>
      <c r="R199" s="273">
        <v>19</v>
      </c>
      <c r="S199" s="273">
        <v>737.09</v>
      </c>
      <c r="T199" s="273">
        <v>19.712653814323893</v>
      </c>
      <c r="U199" s="273">
        <v>0</v>
      </c>
      <c r="V199" s="273">
        <v>0</v>
      </c>
      <c r="W199" s="273">
        <v>5842</v>
      </c>
      <c r="X199" s="273">
        <v>471</v>
      </c>
      <c r="Y199" s="273">
        <v>70</v>
      </c>
      <c r="Z199" s="273">
        <v>0.9532702910448417</v>
      </c>
      <c r="AA199" s="273">
        <v>4</v>
      </c>
      <c r="AB199" s="273">
        <v>2</v>
      </c>
      <c r="AC199" s="273">
        <v>0.08905012900710316</v>
      </c>
      <c r="AD199" s="273">
        <v>737</v>
      </c>
      <c r="AE199" s="273">
        <v>117</v>
      </c>
      <c r="AF199" s="273">
        <v>24</v>
      </c>
      <c r="AG199" s="273">
        <v>7</v>
      </c>
      <c r="AH199" s="273">
        <v>885</v>
      </c>
      <c r="AI199" s="273">
        <v>1.2110585876156594</v>
      </c>
      <c r="AJ199" s="273">
        <v>6477</v>
      </c>
      <c r="AK199" s="273">
        <v>416</v>
      </c>
      <c r="AL199" s="273">
        <v>0.6795411082476409</v>
      </c>
      <c r="AM199" s="273">
        <v>1.2263049999342</v>
      </c>
      <c r="AN199" s="273">
        <v>0</v>
      </c>
      <c r="AO199" s="273">
        <v>0</v>
      </c>
      <c r="AP199" s="273">
        <f t="shared" si="1"/>
        <v>0</v>
      </c>
      <c r="AQ199" s="273">
        <v>357807.1910356991</v>
      </c>
      <c r="AR199" s="273">
        <v>5169403.610015388</v>
      </c>
      <c r="AS199" s="273">
        <v>1</v>
      </c>
      <c r="AT199" s="273">
        <v>14530</v>
      </c>
      <c r="AU199" s="273">
        <v>0</v>
      </c>
      <c r="AV199" s="273">
        <v>0</v>
      </c>
      <c r="AW199" s="273">
        <v>0</v>
      </c>
      <c r="AX199" s="273">
        <v>0</v>
      </c>
      <c r="AY199" s="273">
        <v>737.09</v>
      </c>
      <c r="AZ199" s="273">
        <v>19.712653814323893</v>
      </c>
      <c r="BA199" s="273">
        <v>10754</v>
      </c>
      <c r="BB199" s="273">
        <v>0.7401238816242257</v>
      </c>
      <c r="BC199" s="273">
        <v>0</v>
      </c>
      <c r="BD199" s="273">
        <v>0</v>
      </c>
      <c r="BE199" s="273">
        <v>14234</v>
      </c>
      <c r="BF199" s="273">
        <v>14530</v>
      </c>
      <c r="BG199" s="273">
        <v>0.020795278909652944</v>
      </c>
      <c r="BH199" s="273">
        <v>0</v>
      </c>
      <c r="BI199" s="273">
        <v>0</v>
      </c>
      <c r="BJ199" s="273">
        <v>0</v>
      </c>
      <c r="BK199" s="273">
        <v>2286753.8450798322</v>
      </c>
      <c r="BL199" s="273">
        <v>6343.42</v>
      </c>
    </row>
    <row r="200" spans="6:64" s="273" customFormat="1" ht="12.75">
      <c r="F200" s="273">
        <v>410</v>
      </c>
      <c r="G200" s="273" t="s">
        <v>136</v>
      </c>
      <c r="H200" s="273">
        <v>1933</v>
      </c>
      <c r="I200" s="273">
        <v>284</v>
      </c>
      <c r="J200" s="273">
        <v>1573</v>
      </c>
      <c r="K200" s="273">
        <v>747</v>
      </c>
      <c r="L200" s="273">
        <v>13554</v>
      </c>
      <c r="M200" s="273">
        <v>1559</v>
      </c>
      <c r="N200" s="273">
        <v>940</v>
      </c>
      <c r="O200" s="273">
        <v>300</v>
      </c>
      <c r="P200" s="273">
        <v>18286</v>
      </c>
      <c r="Q200" s="273">
        <v>6</v>
      </c>
      <c r="R200" s="273">
        <v>20</v>
      </c>
      <c r="S200" s="273">
        <v>648.54</v>
      </c>
      <c r="T200" s="273">
        <v>28.195639436272245</v>
      </c>
      <c r="U200" s="273">
        <v>0</v>
      </c>
      <c r="V200" s="273">
        <v>0</v>
      </c>
      <c r="W200" s="273">
        <v>7427</v>
      </c>
      <c r="X200" s="273">
        <v>321</v>
      </c>
      <c r="Y200" s="273">
        <v>97</v>
      </c>
      <c r="Z200" s="273">
        <v>0.9914308824809561</v>
      </c>
      <c r="AA200" s="273">
        <v>14</v>
      </c>
      <c r="AB200" s="273">
        <v>14</v>
      </c>
      <c r="AC200" s="273">
        <v>0.49531273221658434</v>
      </c>
      <c r="AD200" s="273">
        <v>753</v>
      </c>
      <c r="AE200" s="273">
        <v>146</v>
      </c>
      <c r="AF200" s="273">
        <v>42</v>
      </c>
      <c r="AG200" s="273">
        <v>2</v>
      </c>
      <c r="AH200" s="273">
        <v>943</v>
      </c>
      <c r="AI200" s="273">
        <v>1.025369687606793</v>
      </c>
      <c r="AJ200" s="273">
        <v>8454</v>
      </c>
      <c r="AK200" s="273">
        <v>847</v>
      </c>
      <c r="AL200" s="273">
        <v>1.0600283181628902</v>
      </c>
      <c r="AM200" s="273">
        <v>0.928381205419989</v>
      </c>
      <c r="AN200" s="273">
        <v>0</v>
      </c>
      <c r="AO200" s="273">
        <v>0</v>
      </c>
      <c r="AP200" s="273">
        <f t="shared" si="1"/>
        <v>0</v>
      </c>
      <c r="AQ200" s="273">
        <v>-78414.6230551675</v>
      </c>
      <c r="AR200" s="273">
        <v>6418647.271899999</v>
      </c>
      <c r="AS200" s="273">
        <v>1</v>
      </c>
      <c r="AT200" s="273">
        <v>18286</v>
      </c>
      <c r="AU200" s="273">
        <v>0</v>
      </c>
      <c r="AV200" s="273">
        <v>0</v>
      </c>
      <c r="AW200" s="273">
        <v>0</v>
      </c>
      <c r="AX200" s="273">
        <v>0</v>
      </c>
      <c r="AY200" s="273">
        <v>648.54</v>
      </c>
      <c r="AZ200" s="273">
        <v>28.195639436272245</v>
      </c>
      <c r="BA200" s="273">
        <v>12718</v>
      </c>
      <c r="BB200" s="273">
        <v>0.6955047577381603</v>
      </c>
      <c r="BC200" s="273">
        <v>0</v>
      </c>
      <c r="BD200" s="273">
        <v>0</v>
      </c>
      <c r="BE200" s="273">
        <v>17763</v>
      </c>
      <c r="BF200" s="273">
        <v>18286</v>
      </c>
      <c r="BG200" s="273">
        <v>0.02944322468051568</v>
      </c>
      <c r="BH200" s="273">
        <v>0</v>
      </c>
      <c r="BI200" s="273">
        <v>2</v>
      </c>
      <c r="BJ200" s="273">
        <v>0.00010937329104232747</v>
      </c>
      <c r="BK200" s="273">
        <v>2792975.7351925545</v>
      </c>
      <c r="BL200" s="273">
        <v>6095.65</v>
      </c>
    </row>
    <row r="201" spans="6:64" s="273" customFormat="1" ht="12.75">
      <c r="F201" s="273">
        <v>413</v>
      </c>
      <c r="G201" s="273" t="s">
        <v>137</v>
      </c>
      <c r="H201" s="273">
        <v>99</v>
      </c>
      <c r="I201" s="273">
        <v>15</v>
      </c>
      <c r="J201" s="273">
        <v>102</v>
      </c>
      <c r="K201" s="273">
        <v>55</v>
      </c>
      <c r="L201" s="273">
        <v>1304</v>
      </c>
      <c r="M201" s="273">
        <v>242</v>
      </c>
      <c r="N201" s="273">
        <v>209</v>
      </c>
      <c r="O201" s="273">
        <v>91</v>
      </c>
      <c r="P201" s="273">
        <v>1945</v>
      </c>
      <c r="Q201" s="273">
        <v>0</v>
      </c>
      <c r="R201" s="273">
        <v>0</v>
      </c>
      <c r="S201" s="273">
        <v>321.13</v>
      </c>
      <c r="T201" s="273">
        <v>6.056737146949834</v>
      </c>
      <c r="U201" s="273">
        <v>0</v>
      </c>
      <c r="V201" s="273">
        <v>0</v>
      </c>
      <c r="W201" s="273">
        <v>744</v>
      </c>
      <c r="X201" s="273">
        <v>144</v>
      </c>
      <c r="Y201" s="273">
        <v>12</v>
      </c>
      <c r="Z201" s="273">
        <v>0.8302792746770673</v>
      </c>
      <c r="AA201" s="273">
        <v>0</v>
      </c>
      <c r="AB201" s="273">
        <v>2</v>
      </c>
      <c r="AC201" s="273">
        <v>0.6652433801918811</v>
      </c>
      <c r="AD201" s="273">
        <v>155</v>
      </c>
      <c r="AE201" s="273">
        <v>9</v>
      </c>
      <c r="AF201" s="273">
        <v>5</v>
      </c>
      <c r="AG201" s="273">
        <v>6</v>
      </c>
      <c r="AH201" s="273">
        <v>175</v>
      </c>
      <c r="AI201" s="273">
        <v>1.7889818736494958</v>
      </c>
      <c r="AJ201" s="273">
        <v>867</v>
      </c>
      <c r="AK201" s="273">
        <v>101</v>
      </c>
      <c r="AL201" s="273">
        <v>1.232533059317377</v>
      </c>
      <c r="AM201" s="273">
        <v>1.4341882964302</v>
      </c>
      <c r="AN201" s="273">
        <v>0</v>
      </c>
      <c r="AO201" s="273">
        <v>0</v>
      </c>
      <c r="AP201" s="273">
        <f t="shared" si="1"/>
        <v>0</v>
      </c>
      <c r="AQ201" s="273">
        <v>103666.81549230032</v>
      </c>
      <c r="AR201" s="273">
        <v>1724145.9160428573</v>
      </c>
      <c r="AS201" s="273">
        <v>1</v>
      </c>
      <c r="AT201" s="273">
        <v>1945</v>
      </c>
      <c r="AU201" s="273">
        <v>0</v>
      </c>
      <c r="AV201" s="273">
        <v>0</v>
      </c>
      <c r="AW201" s="273">
        <v>0</v>
      </c>
      <c r="AX201" s="273">
        <v>0</v>
      </c>
      <c r="AY201" s="273">
        <v>321.13</v>
      </c>
      <c r="AZ201" s="273">
        <v>6.056737146949834</v>
      </c>
      <c r="BA201" s="273">
        <v>884</v>
      </c>
      <c r="BB201" s="273">
        <v>0.45449871465295627</v>
      </c>
      <c r="BC201" s="273">
        <v>0</v>
      </c>
      <c r="BD201" s="273">
        <v>0</v>
      </c>
      <c r="BE201" s="273">
        <v>2086</v>
      </c>
      <c r="BF201" s="273">
        <v>1945</v>
      </c>
      <c r="BG201" s="273">
        <v>-0.06759348034515819</v>
      </c>
      <c r="BH201" s="273">
        <v>1</v>
      </c>
      <c r="BI201" s="273">
        <v>0</v>
      </c>
      <c r="BJ201" s="273">
        <v>0</v>
      </c>
      <c r="BK201" s="273">
        <v>614442.0746462836</v>
      </c>
      <c r="BL201" s="273">
        <v>7126.88</v>
      </c>
    </row>
    <row r="202" spans="6:64" s="273" customFormat="1" ht="12.75">
      <c r="F202" s="273">
        <v>416</v>
      </c>
      <c r="G202" s="273" t="s">
        <v>138</v>
      </c>
      <c r="H202" s="273">
        <v>243</v>
      </c>
      <c r="I202" s="273">
        <v>33</v>
      </c>
      <c r="J202" s="273">
        <v>232</v>
      </c>
      <c r="K202" s="273">
        <v>102</v>
      </c>
      <c r="L202" s="273">
        <v>2195</v>
      </c>
      <c r="M202" s="273">
        <v>335</v>
      </c>
      <c r="N202" s="273">
        <v>226</v>
      </c>
      <c r="O202" s="273">
        <v>69</v>
      </c>
      <c r="P202" s="273">
        <v>3068</v>
      </c>
      <c r="Q202" s="273">
        <v>0</v>
      </c>
      <c r="R202" s="273">
        <v>9</v>
      </c>
      <c r="S202" s="273">
        <v>217.77</v>
      </c>
      <c r="T202" s="273">
        <v>14.08825825412132</v>
      </c>
      <c r="U202" s="273">
        <v>0</v>
      </c>
      <c r="V202" s="273">
        <v>0</v>
      </c>
      <c r="W202" s="273">
        <v>1248</v>
      </c>
      <c r="X202" s="273">
        <v>112</v>
      </c>
      <c r="Y202" s="273">
        <v>8</v>
      </c>
      <c r="Z202" s="273">
        <v>0.9495423102076036</v>
      </c>
      <c r="AA202" s="273">
        <v>0</v>
      </c>
      <c r="AB202" s="273">
        <v>2</v>
      </c>
      <c r="AC202" s="273">
        <v>0.4217400177552832</v>
      </c>
      <c r="AD202" s="273">
        <v>126</v>
      </c>
      <c r="AE202" s="273">
        <v>17</v>
      </c>
      <c r="AF202" s="273">
        <v>3</v>
      </c>
      <c r="AG202" s="273">
        <v>1</v>
      </c>
      <c r="AH202" s="273">
        <v>147</v>
      </c>
      <c r="AI202" s="273">
        <v>0.9526853276299042</v>
      </c>
      <c r="AJ202" s="273">
        <v>1418</v>
      </c>
      <c r="AK202" s="273">
        <v>116</v>
      </c>
      <c r="AL202" s="273">
        <v>0.865521895583427</v>
      </c>
      <c r="AM202" s="273">
        <v>0.743443459247679</v>
      </c>
      <c r="AN202" s="273">
        <v>0</v>
      </c>
      <c r="AO202" s="273">
        <v>0</v>
      </c>
      <c r="AP202" s="273">
        <f aca="true" t="shared" si="2" ref="AP202:AP265">MAX(AN202,AO202)</f>
        <v>0</v>
      </c>
      <c r="AQ202" s="273">
        <v>-11455.423512226902</v>
      </c>
      <c r="AR202" s="273">
        <v>1358632.8956923059</v>
      </c>
      <c r="AS202" s="273">
        <v>1</v>
      </c>
      <c r="AT202" s="273">
        <v>3068</v>
      </c>
      <c r="AU202" s="273">
        <v>0</v>
      </c>
      <c r="AV202" s="273">
        <v>0</v>
      </c>
      <c r="AW202" s="273">
        <v>0</v>
      </c>
      <c r="AX202" s="273">
        <v>0</v>
      </c>
      <c r="AY202" s="273">
        <v>217.77</v>
      </c>
      <c r="AZ202" s="273">
        <v>14.08825825412132</v>
      </c>
      <c r="BA202" s="273">
        <v>1639</v>
      </c>
      <c r="BB202" s="273">
        <v>0.5342242503259452</v>
      </c>
      <c r="BC202" s="273">
        <v>0</v>
      </c>
      <c r="BD202" s="273">
        <v>0</v>
      </c>
      <c r="BE202" s="273">
        <v>3059</v>
      </c>
      <c r="BF202" s="273">
        <v>3068</v>
      </c>
      <c r="BG202" s="273">
        <v>0.002942137953579601</v>
      </c>
      <c r="BH202" s="273">
        <v>0</v>
      </c>
      <c r="BI202" s="273">
        <v>0</v>
      </c>
      <c r="BJ202" s="273">
        <v>0</v>
      </c>
      <c r="BK202" s="273">
        <v>592754.2966506582</v>
      </c>
      <c r="BL202" s="273">
        <v>6592.07</v>
      </c>
    </row>
    <row r="203" spans="6:64" s="273" customFormat="1" ht="12.75">
      <c r="F203" s="273">
        <v>418</v>
      </c>
      <c r="G203" s="273" t="s">
        <v>139</v>
      </c>
      <c r="H203" s="273">
        <v>2479</v>
      </c>
      <c r="I203" s="273">
        <v>344</v>
      </c>
      <c r="J203" s="273">
        <v>1830</v>
      </c>
      <c r="K203" s="273">
        <v>852</v>
      </c>
      <c r="L203" s="273">
        <v>15621</v>
      </c>
      <c r="M203" s="273">
        <v>1597</v>
      </c>
      <c r="N203" s="273">
        <v>885</v>
      </c>
      <c r="O203" s="273">
        <v>306</v>
      </c>
      <c r="P203" s="273">
        <v>20888</v>
      </c>
      <c r="Q203" s="273">
        <v>12</v>
      </c>
      <c r="R203" s="273">
        <v>48</v>
      </c>
      <c r="S203" s="273">
        <v>269.55</v>
      </c>
      <c r="T203" s="273">
        <v>77.49211649044703</v>
      </c>
      <c r="U203" s="273">
        <v>0</v>
      </c>
      <c r="V203" s="273">
        <v>0</v>
      </c>
      <c r="W203" s="273">
        <v>8981</v>
      </c>
      <c r="X203" s="273">
        <v>132</v>
      </c>
      <c r="Y203" s="273">
        <v>125</v>
      </c>
      <c r="Z203" s="273">
        <v>1.020494732238648</v>
      </c>
      <c r="AA203" s="273">
        <v>28</v>
      </c>
      <c r="AB203" s="273">
        <v>28</v>
      </c>
      <c r="AC203" s="273">
        <v>0.8672241115772178</v>
      </c>
      <c r="AD203" s="273">
        <v>660</v>
      </c>
      <c r="AE203" s="273">
        <v>190</v>
      </c>
      <c r="AF203" s="273">
        <v>50</v>
      </c>
      <c r="AG203" s="273">
        <v>5</v>
      </c>
      <c r="AH203" s="273">
        <v>905</v>
      </c>
      <c r="AI203" s="273">
        <v>0.8614681344161197</v>
      </c>
      <c r="AJ203" s="273">
        <v>10056</v>
      </c>
      <c r="AK203" s="273">
        <v>809</v>
      </c>
      <c r="AL203" s="273">
        <v>0.851176368184096</v>
      </c>
      <c r="AM203" s="273">
        <v>0.686173576621312</v>
      </c>
      <c r="AN203" s="273">
        <v>0</v>
      </c>
      <c r="AO203" s="273">
        <v>0</v>
      </c>
      <c r="AP203" s="273">
        <f t="shared" si="2"/>
        <v>0</v>
      </c>
      <c r="AQ203" s="273">
        <v>-22639.194855719805</v>
      </c>
      <c r="AR203" s="273">
        <v>-1691118.768566154</v>
      </c>
      <c r="AS203" s="273">
        <v>1</v>
      </c>
      <c r="AT203" s="273">
        <v>20888</v>
      </c>
      <c r="AU203" s="273">
        <v>0</v>
      </c>
      <c r="AV203" s="273">
        <v>0</v>
      </c>
      <c r="AW203" s="273">
        <v>0</v>
      </c>
      <c r="AX203" s="273">
        <v>0</v>
      </c>
      <c r="AY203" s="273">
        <v>269.55</v>
      </c>
      <c r="AZ203" s="273">
        <v>77.49211649044703</v>
      </c>
      <c r="BA203" s="273">
        <v>18242</v>
      </c>
      <c r="BB203" s="273">
        <v>0.8733243967828418</v>
      </c>
      <c r="BC203" s="273">
        <v>0</v>
      </c>
      <c r="BD203" s="273">
        <v>0</v>
      </c>
      <c r="BE203" s="273">
        <v>19753</v>
      </c>
      <c r="BF203" s="273">
        <v>20888</v>
      </c>
      <c r="BG203" s="273">
        <v>0.05745962638586544</v>
      </c>
      <c r="BH203" s="273">
        <v>0</v>
      </c>
      <c r="BI203" s="273">
        <v>0</v>
      </c>
      <c r="BJ203" s="273">
        <v>0</v>
      </c>
      <c r="BK203" s="273">
        <v>2969557.572687622</v>
      </c>
      <c r="BL203" s="273">
        <v>5868.33</v>
      </c>
    </row>
    <row r="204" spans="6:64" s="273" customFormat="1" ht="12.75">
      <c r="F204" s="273">
        <v>420</v>
      </c>
      <c r="G204" s="273" t="s">
        <v>140</v>
      </c>
      <c r="H204" s="273">
        <v>663</v>
      </c>
      <c r="I204" s="273">
        <v>91</v>
      </c>
      <c r="J204" s="273">
        <v>672</v>
      </c>
      <c r="K204" s="273">
        <v>370</v>
      </c>
      <c r="L204" s="273">
        <v>7256</v>
      </c>
      <c r="M204" s="273">
        <v>1323</v>
      </c>
      <c r="N204" s="273">
        <v>892</v>
      </c>
      <c r="O204" s="273">
        <v>271</v>
      </c>
      <c r="P204" s="273">
        <v>10405</v>
      </c>
      <c r="Q204" s="273">
        <v>0</v>
      </c>
      <c r="R204" s="273">
        <v>12</v>
      </c>
      <c r="S204" s="273">
        <v>1136.05</v>
      </c>
      <c r="T204" s="273">
        <v>9.15892786409049</v>
      </c>
      <c r="U204" s="273">
        <v>0</v>
      </c>
      <c r="V204" s="273">
        <v>0</v>
      </c>
      <c r="W204" s="273">
        <v>3863</v>
      </c>
      <c r="X204" s="273">
        <v>339</v>
      </c>
      <c r="Y204" s="273">
        <v>63</v>
      </c>
      <c r="Z204" s="273">
        <v>0.9412320302966103</v>
      </c>
      <c r="AA204" s="273">
        <v>13</v>
      </c>
      <c r="AB204" s="273">
        <v>13</v>
      </c>
      <c r="AC204" s="273">
        <v>0.808297879296094</v>
      </c>
      <c r="AD204" s="273">
        <v>665</v>
      </c>
      <c r="AE204" s="273">
        <v>85</v>
      </c>
      <c r="AF204" s="273">
        <v>14</v>
      </c>
      <c r="AG204" s="273">
        <v>8</v>
      </c>
      <c r="AH204" s="273">
        <v>772</v>
      </c>
      <c r="AI204" s="273">
        <v>1.4752401139889688</v>
      </c>
      <c r="AJ204" s="273">
        <v>4586</v>
      </c>
      <c r="AK204" s="273">
        <v>519</v>
      </c>
      <c r="AL204" s="273">
        <v>1.197373405716533</v>
      </c>
      <c r="AM204" s="273">
        <v>1.43677865440923</v>
      </c>
      <c r="AN204" s="273">
        <v>0</v>
      </c>
      <c r="AO204" s="273">
        <v>0</v>
      </c>
      <c r="AP204" s="273">
        <f t="shared" si="2"/>
        <v>0</v>
      </c>
      <c r="AQ204" s="273">
        <v>-162756.96273579448</v>
      </c>
      <c r="AR204" s="273">
        <v>4316620.963342099</v>
      </c>
      <c r="AS204" s="273">
        <v>1</v>
      </c>
      <c r="AT204" s="273">
        <v>10405</v>
      </c>
      <c r="AU204" s="273">
        <v>0</v>
      </c>
      <c r="AV204" s="273">
        <v>0</v>
      </c>
      <c r="AW204" s="273">
        <v>0</v>
      </c>
      <c r="AX204" s="273">
        <v>0</v>
      </c>
      <c r="AY204" s="273">
        <v>1136.05</v>
      </c>
      <c r="AZ204" s="273">
        <v>9.15892786409049</v>
      </c>
      <c r="BA204" s="273">
        <v>5948</v>
      </c>
      <c r="BB204" s="273">
        <v>0.5716482460355599</v>
      </c>
      <c r="BC204" s="273">
        <v>0</v>
      </c>
      <c r="BD204" s="273">
        <v>0</v>
      </c>
      <c r="BE204" s="273">
        <v>10760</v>
      </c>
      <c r="BF204" s="273">
        <v>10405</v>
      </c>
      <c r="BG204" s="273">
        <v>-0.032992565055762084</v>
      </c>
      <c r="BH204" s="273">
        <v>0</v>
      </c>
      <c r="BI204" s="273">
        <v>0</v>
      </c>
      <c r="BJ204" s="273">
        <v>0</v>
      </c>
      <c r="BK204" s="273">
        <v>1876189.8476320808</v>
      </c>
      <c r="BL204" s="273">
        <v>6861.18</v>
      </c>
    </row>
    <row r="205" spans="6:64" s="273" customFormat="1" ht="12.75">
      <c r="F205" s="273">
        <v>421</v>
      </c>
      <c r="G205" s="273" t="s">
        <v>141</v>
      </c>
      <c r="H205" s="273">
        <v>47</v>
      </c>
      <c r="I205" s="273">
        <v>7</v>
      </c>
      <c r="J205" s="273">
        <v>55</v>
      </c>
      <c r="K205" s="273">
        <v>25</v>
      </c>
      <c r="L205" s="273">
        <v>593</v>
      </c>
      <c r="M205" s="273">
        <v>98</v>
      </c>
      <c r="N205" s="273">
        <v>74</v>
      </c>
      <c r="O205" s="273">
        <v>35</v>
      </c>
      <c r="P205" s="273">
        <v>847</v>
      </c>
      <c r="Q205" s="273">
        <v>0</v>
      </c>
      <c r="R205" s="273">
        <v>1</v>
      </c>
      <c r="S205" s="273">
        <v>480.69</v>
      </c>
      <c r="T205" s="273">
        <v>1.762050385903597</v>
      </c>
      <c r="U205" s="273">
        <v>0</v>
      </c>
      <c r="V205" s="273">
        <v>0</v>
      </c>
      <c r="W205" s="273">
        <v>307</v>
      </c>
      <c r="X205" s="273">
        <v>110</v>
      </c>
      <c r="Y205" s="273">
        <v>4</v>
      </c>
      <c r="Z205" s="273">
        <v>0.6604481686356303</v>
      </c>
      <c r="AA205" s="273">
        <v>1</v>
      </c>
      <c r="AB205" s="273">
        <v>2</v>
      </c>
      <c r="AC205" s="273">
        <v>1.5276249993780504</v>
      </c>
      <c r="AD205" s="273">
        <v>64</v>
      </c>
      <c r="AE205" s="273">
        <v>8</v>
      </c>
      <c r="AF205" s="273">
        <v>1</v>
      </c>
      <c r="AG205" s="273">
        <v>0</v>
      </c>
      <c r="AH205" s="273">
        <v>73</v>
      </c>
      <c r="AI205" s="273">
        <v>1.7136690256712677</v>
      </c>
      <c r="AJ205" s="273">
        <v>346</v>
      </c>
      <c r="AK205" s="273">
        <v>22</v>
      </c>
      <c r="AL205" s="273">
        <v>0.6727332333720497</v>
      </c>
      <c r="AM205" s="273">
        <v>1.67799883230536</v>
      </c>
      <c r="AN205" s="273">
        <v>0.05</v>
      </c>
      <c r="AO205" s="273">
        <v>0</v>
      </c>
      <c r="AP205" s="273">
        <f t="shared" si="2"/>
        <v>0.05</v>
      </c>
      <c r="AQ205" s="273">
        <v>39125.340264778584</v>
      </c>
      <c r="AR205" s="273">
        <v>609048.5551600001</v>
      </c>
      <c r="AS205" s="273">
        <v>1</v>
      </c>
      <c r="AT205" s="273">
        <v>847</v>
      </c>
      <c r="AU205" s="273">
        <v>0</v>
      </c>
      <c r="AV205" s="273">
        <v>0</v>
      </c>
      <c r="AW205" s="273">
        <v>0</v>
      </c>
      <c r="AX205" s="273">
        <v>0.8113999999999999</v>
      </c>
      <c r="AY205" s="273">
        <v>480.69</v>
      </c>
      <c r="AZ205" s="273">
        <v>1.762050385903597</v>
      </c>
      <c r="BA205" s="273">
        <v>297</v>
      </c>
      <c r="BB205" s="273">
        <v>0.35064935064935066</v>
      </c>
      <c r="BC205" s="273">
        <v>0</v>
      </c>
      <c r="BD205" s="273">
        <v>0</v>
      </c>
      <c r="BE205" s="273">
        <v>881</v>
      </c>
      <c r="BF205" s="273">
        <v>847</v>
      </c>
      <c r="BG205" s="273">
        <v>-0.03859250851305335</v>
      </c>
      <c r="BH205" s="273">
        <v>0</v>
      </c>
      <c r="BI205" s="273">
        <v>0</v>
      </c>
      <c r="BJ205" s="273">
        <v>0</v>
      </c>
      <c r="BK205" s="273">
        <v>214442.4569190151</v>
      </c>
      <c r="BL205" s="273">
        <v>8356.03</v>
      </c>
    </row>
    <row r="206" spans="6:64" s="273" customFormat="1" ht="12.75">
      <c r="F206" s="273">
        <v>422</v>
      </c>
      <c r="G206" s="273" t="s">
        <v>142</v>
      </c>
      <c r="H206" s="273">
        <v>576</v>
      </c>
      <c r="I206" s="273">
        <v>78</v>
      </c>
      <c r="J206" s="273">
        <v>579</v>
      </c>
      <c r="K206" s="273">
        <v>354</v>
      </c>
      <c r="L206" s="273">
        <v>8525</v>
      </c>
      <c r="M206" s="273">
        <v>1830</v>
      </c>
      <c r="N206" s="273">
        <v>1246</v>
      </c>
      <c r="O206" s="273">
        <v>408</v>
      </c>
      <c r="P206" s="273">
        <v>12585</v>
      </c>
      <c r="Q206" s="273">
        <v>1</v>
      </c>
      <c r="R206" s="273">
        <v>57</v>
      </c>
      <c r="S206" s="273">
        <v>3418.42</v>
      </c>
      <c r="T206" s="273">
        <v>3.6815253830717114</v>
      </c>
      <c r="U206" s="273">
        <v>1</v>
      </c>
      <c r="V206" s="273">
        <v>0</v>
      </c>
      <c r="W206" s="273">
        <v>4167</v>
      </c>
      <c r="X206" s="273">
        <v>428</v>
      </c>
      <c r="Y206" s="273">
        <v>76</v>
      </c>
      <c r="Z206" s="273">
        <v>0.9234921857099271</v>
      </c>
      <c r="AA206" s="273">
        <v>26</v>
      </c>
      <c r="AB206" s="273">
        <v>26</v>
      </c>
      <c r="AC206" s="273">
        <v>1.3365656629441172</v>
      </c>
      <c r="AD206" s="273">
        <v>948</v>
      </c>
      <c r="AE206" s="273">
        <v>49</v>
      </c>
      <c r="AF206" s="273">
        <v>16</v>
      </c>
      <c r="AG206" s="273">
        <v>6</v>
      </c>
      <c r="AH206" s="273">
        <v>1019</v>
      </c>
      <c r="AI206" s="273">
        <v>1.6099354421426808</v>
      </c>
      <c r="AJ206" s="273">
        <v>5149</v>
      </c>
      <c r="AK206" s="273">
        <v>831</v>
      </c>
      <c r="AL206" s="273">
        <v>1.707553943912604</v>
      </c>
      <c r="AM206" s="273">
        <v>1.4418933919558</v>
      </c>
      <c r="AN206" s="273">
        <v>0.05</v>
      </c>
      <c r="AO206" s="273">
        <v>0</v>
      </c>
      <c r="AP206" s="273">
        <f t="shared" si="2"/>
        <v>0.05</v>
      </c>
      <c r="AQ206" s="273">
        <v>-315981.70902796835</v>
      </c>
      <c r="AR206" s="273">
        <v>5818861.302738457</v>
      </c>
      <c r="AS206" s="273">
        <v>1</v>
      </c>
      <c r="AT206" s="273">
        <v>12585</v>
      </c>
      <c r="AU206" s="273">
        <v>1</v>
      </c>
      <c r="AV206" s="273">
        <v>261</v>
      </c>
      <c r="AW206" s="273">
        <v>0.020738974970202623</v>
      </c>
      <c r="AX206" s="273">
        <v>0.8024833333333333</v>
      </c>
      <c r="AY206" s="273">
        <v>3418.42</v>
      </c>
      <c r="AZ206" s="273">
        <v>3.6815253830717114</v>
      </c>
      <c r="BA206" s="273">
        <v>8606</v>
      </c>
      <c r="BB206" s="273">
        <v>0.6838299562971791</v>
      </c>
      <c r="BC206" s="273">
        <v>0</v>
      </c>
      <c r="BD206" s="273">
        <v>0</v>
      </c>
      <c r="BE206" s="273">
        <v>12918</v>
      </c>
      <c r="BF206" s="273">
        <v>12585</v>
      </c>
      <c r="BG206" s="273">
        <v>-0.025777984208081747</v>
      </c>
      <c r="BH206" s="273">
        <v>0</v>
      </c>
      <c r="BI206" s="273">
        <v>0</v>
      </c>
      <c r="BJ206" s="273">
        <v>0</v>
      </c>
      <c r="BK206" s="273">
        <v>2895441.3812778867</v>
      </c>
      <c r="BL206" s="273">
        <v>7616.56</v>
      </c>
    </row>
    <row r="207" spans="6:64" s="273" customFormat="1" ht="12.75">
      <c r="F207" s="273">
        <v>423</v>
      </c>
      <c r="G207" s="273" t="s">
        <v>143</v>
      </c>
      <c r="H207" s="273">
        <v>1662</v>
      </c>
      <c r="I207" s="273">
        <v>236</v>
      </c>
      <c r="J207" s="273">
        <v>1425</v>
      </c>
      <c r="K207" s="273">
        <v>742</v>
      </c>
      <c r="L207" s="273">
        <v>12546</v>
      </c>
      <c r="M207" s="273">
        <v>1433</v>
      </c>
      <c r="N207" s="273">
        <v>806</v>
      </c>
      <c r="O207" s="273">
        <v>243</v>
      </c>
      <c r="P207" s="273">
        <v>16690</v>
      </c>
      <c r="Q207" s="273">
        <v>39</v>
      </c>
      <c r="R207" s="273">
        <v>47</v>
      </c>
      <c r="S207" s="273">
        <v>198.5</v>
      </c>
      <c r="T207" s="273">
        <v>84.08060453400503</v>
      </c>
      <c r="U207" s="273">
        <v>0</v>
      </c>
      <c r="V207" s="273">
        <v>0</v>
      </c>
      <c r="W207" s="273">
        <v>7324</v>
      </c>
      <c r="X207" s="273">
        <v>196</v>
      </c>
      <c r="Y207" s="273">
        <v>67</v>
      </c>
      <c r="Z207" s="273">
        <v>1.012832625828074</v>
      </c>
      <c r="AA207" s="273">
        <v>22</v>
      </c>
      <c r="AB207" s="273">
        <v>22</v>
      </c>
      <c r="AC207" s="273">
        <v>0.8527790365012161</v>
      </c>
      <c r="AD207" s="273">
        <v>473</v>
      </c>
      <c r="AE207" s="273">
        <v>179</v>
      </c>
      <c r="AF207" s="273">
        <v>41</v>
      </c>
      <c r="AG207" s="273">
        <v>6</v>
      </c>
      <c r="AH207" s="273">
        <v>699</v>
      </c>
      <c r="AI207" s="273">
        <v>0.8327379102044132</v>
      </c>
      <c r="AJ207" s="273">
        <v>7869</v>
      </c>
      <c r="AK207" s="273">
        <v>459</v>
      </c>
      <c r="AL207" s="273">
        <v>0.6171481632455823</v>
      </c>
      <c r="AM207" s="273">
        <v>0.669643294146065</v>
      </c>
      <c r="AN207" s="273">
        <v>0</v>
      </c>
      <c r="AO207" s="273">
        <v>0</v>
      </c>
      <c r="AP207" s="273">
        <f t="shared" si="2"/>
        <v>0</v>
      </c>
      <c r="AQ207" s="273">
        <v>-65023.11419514567</v>
      </c>
      <c r="AR207" s="273">
        <v>-1905064.8308019994</v>
      </c>
      <c r="AS207" s="273">
        <v>1</v>
      </c>
      <c r="AT207" s="273">
        <v>16690</v>
      </c>
      <c r="AU207" s="273">
        <v>0</v>
      </c>
      <c r="AV207" s="273">
        <v>0</v>
      </c>
      <c r="AW207" s="273">
        <v>0</v>
      </c>
      <c r="AX207" s="273">
        <v>0</v>
      </c>
      <c r="AY207" s="273">
        <v>198.5</v>
      </c>
      <c r="AZ207" s="273">
        <v>84.08060453400503</v>
      </c>
      <c r="BA207" s="273">
        <v>13912</v>
      </c>
      <c r="BB207" s="273">
        <v>0.8335530257639305</v>
      </c>
      <c r="BC207" s="273">
        <v>0</v>
      </c>
      <c r="BD207" s="273">
        <v>0</v>
      </c>
      <c r="BE207" s="273">
        <v>15772</v>
      </c>
      <c r="BF207" s="273">
        <v>16690</v>
      </c>
      <c r="BG207" s="273">
        <v>0.058204412883591176</v>
      </c>
      <c r="BH207" s="273">
        <v>0</v>
      </c>
      <c r="BI207" s="273">
        <v>0</v>
      </c>
      <c r="BJ207" s="273">
        <v>0</v>
      </c>
      <c r="BK207" s="273">
        <v>2047241.8964361579</v>
      </c>
      <c r="BL207" s="273">
        <v>5888.57</v>
      </c>
    </row>
    <row r="208" spans="6:64" s="273" customFormat="1" ht="12.75">
      <c r="F208" s="273">
        <v>425</v>
      </c>
      <c r="G208" s="273" t="s">
        <v>144</v>
      </c>
      <c r="H208" s="273">
        <v>1601</v>
      </c>
      <c r="I208" s="273">
        <v>244</v>
      </c>
      <c r="J208" s="273">
        <v>1245</v>
      </c>
      <c r="K208" s="273">
        <v>483</v>
      </c>
      <c r="L208" s="273">
        <v>6818</v>
      </c>
      <c r="M208" s="273">
        <v>405</v>
      </c>
      <c r="N208" s="273">
        <v>260</v>
      </c>
      <c r="O208" s="273">
        <v>80</v>
      </c>
      <c r="P208" s="273">
        <v>9164</v>
      </c>
      <c r="Q208" s="273">
        <v>4</v>
      </c>
      <c r="R208" s="273">
        <v>5</v>
      </c>
      <c r="S208" s="273">
        <v>637.15</v>
      </c>
      <c r="T208" s="273">
        <v>14.382798399121087</v>
      </c>
      <c r="U208" s="273">
        <v>0</v>
      </c>
      <c r="V208" s="273">
        <v>0</v>
      </c>
      <c r="W208" s="273">
        <v>3397</v>
      </c>
      <c r="X208" s="273">
        <v>171</v>
      </c>
      <c r="Y208" s="273">
        <v>51</v>
      </c>
      <c r="Z208" s="273">
        <v>0.981901649235404</v>
      </c>
      <c r="AA208" s="273">
        <v>11</v>
      </c>
      <c r="AB208" s="273">
        <v>11</v>
      </c>
      <c r="AC208" s="273">
        <v>0.7765649344830476</v>
      </c>
      <c r="AD208" s="273">
        <v>235</v>
      </c>
      <c r="AE208" s="273">
        <v>112</v>
      </c>
      <c r="AF208" s="273">
        <v>17</v>
      </c>
      <c r="AG208" s="273">
        <v>1</v>
      </c>
      <c r="AH208" s="273">
        <v>365</v>
      </c>
      <c r="AI208" s="273">
        <v>0.7919454739980161</v>
      </c>
      <c r="AJ208" s="273">
        <v>3770</v>
      </c>
      <c r="AK208" s="273">
        <v>293</v>
      </c>
      <c r="AL208" s="273">
        <v>0.8222853838050598</v>
      </c>
      <c r="AM208" s="273">
        <v>0.992202933454498</v>
      </c>
      <c r="AN208" s="273">
        <v>0</v>
      </c>
      <c r="AO208" s="273">
        <v>0</v>
      </c>
      <c r="AP208" s="273">
        <f t="shared" si="2"/>
        <v>0</v>
      </c>
      <c r="AQ208" s="273">
        <v>-237163.8779362552</v>
      </c>
      <c r="AR208" s="273">
        <v>5288527.229753839</v>
      </c>
      <c r="AS208" s="273">
        <v>1</v>
      </c>
      <c r="AT208" s="273">
        <v>9164</v>
      </c>
      <c r="AU208" s="273">
        <v>0</v>
      </c>
      <c r="AV208" s="273">
        <v>0</v>
      </c>
      <c r="AW208" s="273">
        <v>0</v>
      </c>
      <c r="AX208" s="273">
        <v>0</v>
      </c>
      <c r="AY208" s="273">
        <v>637.15</v>
      </c>
      <c r="AZ208" s="273">
        <v>14.382798399121087</v>
      </c>
      <c r="BA208" s="273">
        <v>7168</v>
      </c>
      <c r="BB208" s="273">
        <v>0.7821911828895679</v>
      </c>
      <c r="BC208" s="273">
        <v>0</v>
      </c>
      <c r="BD208" s="273">
        <v>0</v>
      </c>
      <c r="BE208" s="273">
        <v>8576</v>
      </c>
      <c r="BF208" s="273">
        <v>9164</v>
      </c>
      <c r="BG208" s="273">
        <v>0.06856343283582089</v>
      </c>
      <c r="BH208" s="273">
        <v>1</v>
      </c>
      <c r="BI208" s="273">
        <v>3</v>
      </c>
      <c r="BJ208" s="273">
        <v>0.00032736796158882583</v>
      </c>
      <c r="BK208" s="273">
        <v>1132332.312451105</v>
      </c>
      <c r="BL208" s="273">
        <v>6549.53</v>
      </c>
    </row>
    <row r="209" spans="6:64" s="273" customFormat="1" ht="12.75">
      <c r="F209" s="273">
        <v>426</v>
      </c>
      <c r="G209" s="273" t="s">
        <v>145</v>
      </c>
      <c r="H209" s="273">
        <v>1131</v>
      </c>
      <c r="I209" s="273">
        <v>159</v>
      </c>
      <c r="J209" s="273">
        <v>915</v>
      </c>
      <c r="K209" s="273">
        <v>469</v>
      </c>
      <c r="L209" s="273">
        <v>9035</v>
      </c>
      <c r="M209" s="273">
        <v>1198</v>
      </c>
      <c r="N209" s="273">
        <v>688</v>
      </c>
      <c r="O209" s="273">
        <v>234</v>
      </c>
      <c r="P209" s="273">
        <v>12286</v>
      </c>
      <c r="Q209" s="273">
        <v>1</v>
      </c>
      <c r="R209" s="273">
        <v>10</v>
      </c>
      <c r="S209" s="273">
        <v>726.9</v>
      </c>
      <c r="T209" s="273">
        <v>16.901912230017885</v>
      </c>
      <c r="U209" s="273">
        <v>1</v>
      </c>
      <c r="V209" s="273">
        <v>0</v>
      </c>
      <c r="W209" s="273">
        <v>4824</v>
      </c>
      <c r="X209" s="273">
        <v>488</v>
      </c>
      <c r="Y209" s="273">
        <v>75</v>
      </c>
      <c r="Z209" s="273">
        <v>0.9279488583559117</v>
      </c>
      <c r="AA209" s="273">
        <v>23</v>
      </c>
      <c r="AB209" s="273">
        <v>23</v>
      </c>
      <c r="AC209" s="273">
        <v>1.211120894224475</v>
      </c>
      <c r="AD209" s="273">
        <v>504</v>
      </c>
      <c r="AE209" s="273">
        <v>76</v>
      </c>
      <c r="AF209" s="273">
        <v>18</v>
      </c>
      <c r="AG209" s="273">
        <v>6</v>
      </c>
      <c r="AH209" s="273">
        <v>604</v>
      </c>
      <c r="AI209" s="273">
        <v>0.9774936050445127</v>
      </c>
      <c r="AJ209" s="273">
        <v>5529</v>
      </c>
      <c r="AK209" s="273">
        <v>580</v>
      </c>
      <c r="AL209" s="273">
        <v>1.1098842900500085</v>
      </c>
      <c r="AM209" s="273">
        <v>1.11531359145108</v>
      </c>
      <c r="AN209" s="273">
        <v>0</v>
      </c>
      <c r="AO209" s="273">
        <v>0</v>
      </c>
      <c r="AP209" s="273">
        <f t="shared" si="2"/>
        <v>0</v>
      </c>
      <c r="AQ209" s="273">
        <v>172946.06286363304</v>
      </c>
      <c r="AR209" s="273">
        <v>7774911.661029997</v>
      </c>
      <c r="AS209" s="273">
        <v>1</v>
      </c>
      <c r="AT209" s="273">
        <v>12286</v>
      </c>
      <c r="AU209" s="273">
        <v>1</v>
      </c>
      <c r="AV209" s="273">
        <v>514</v>
      </c>
      <c r="AW209" s="273">
        <v>0.04183623636659613</v>
      </c>
      <c r="AX209" s="273">
        <v>0</v>
      </c>
      <c r="AY209" s="273">
        <v>726.9</v>
      </c>
      <c r="AZ209" s="273">
        <v>16.901912230017885</v>
      </c>
      <c r="BA209" s="273">
        <v>6753</v>
      </c>
      <c r="BB209" s="273">
        <v>0.5496500081393456</v>
      </c>
      <c r="BC209" s="273">
        <v>0</v>
      </c>
      <c r="BD209" s="273">
        <v>0</v>
      </c>
      <c r="BE209" s="273">
        <v>12056</v>
      </c>
      <c r="BF209" s="273">
        <v>12286</v>
      </c>
      <c r="BG209" s="273">
        <v>0.01907763769077638</v>
      </c>
      <c r="BH209" s="273">
        <v>0</v>
      </c>
      <c r="BI209" s="273">
        <v>4</v>
      </c>
      <c r="BJ209" s="273">
        <v>0.00032557382386456127</v>
      </c>
      <c r="BK209" s="273">
        <v>2379547.367048238</v>
      </c>
      <c r="BL209" s="273">
        <v>6442.05</v>
      </c>
    </row>
    <row r="210" spans="6:64" s="273" customFormat="1" ht="12.75">
      <c r="F210" s="273">
        <v>444</v>
      </c>
      <c r="G210" s="273" t="s">
        <v>146</v>
      </c>
      <c r="H210" s="273">
        <v>3989</v>
      </c>
      <c r="I210" s="273">
        <v>592</v>
      </c>
      <c r="J210" s="273">
        <v>3513</v>
      </c>
      <c r="K210" s="273">
        <v>1827</v>
      </c>
      <c r="L210" s="273">
        <v>35021</v>
      </c>
      <c r="M210" s="273">
        <v>4898</v>
      </c>
      <c r="N210" s="273">
        <v>2599</v>
      </c>
      <c r="O210" s="273">
        <v>867</v>
      </c>
      <c r="P210" s="273">
        <v>47374</v>
      </c>
      <c r="Q210" s="273">
        <v>181</v>
      </c>
      <c r="R210" s="273">
        <v>126</v>
      </c>
      <c r="S210" s="273">
        <v>939.02</v>
      </c>
      <c r="T210" s="273">
        <v>50.45046963855935</v>
      </c>
      <c r="U210" s="273">
        <v>0</v>
      </c>
      <c r="V210" s="273">
        <v>1</v>
      </c>
      <c r="W210" s="273">
        <v>20932</v>
      </c>
      <c r="X210" s="273">
        <v>508</v>
      </c>
      <c r="Y210" s="273">
        <v>202</v>
      </c>
      <c r="Z210" s="273">
        <v>1.014923215442247</v>
      </c>
      <c r="AA210" s="273">
        <v>85</v>
      </c>
      <c r="AB210" s="273">
        <v>85</v>
      </c>
      <c r="AC210" s="273">
        <v>1.1607776610611595</v>
      </c>
      <c r="AD210" s="273">
        <v>1421</v>
      </c>
      <c r="AE210" s="273">
        <v>325</v>
      </c>
      <c r="AF210" s="273">
        <v>59</v>
      </c>
      <c r="AG210" s="273">
        <v>15</v>
      </c>
      <c r="AH210" s="273">
        <v>1820</v>
      </c>
      <c r="AI210" s="273">
        <v>0.7638689015109976</v>
      </c>
      <c r="AJ210" s="273">
        <v>23174</v>
      </c>
      <c r="AK210" s="273">
        <v>1750</v>
      </c>
      <c r="AL210" s="273">
        <v>0.7989752873651037</v>
      </c>
      <c r="AM210" s="273">
        <v>0.9188550200987118</v>
      </c>
      <c r="AN210" s="273">
        <v>0</v>
      </c>
      <c r="AO210" s="273">
        <v>0</v>
      </c>
      <c r="AP210" s="273">
        <f t="shared" si="2"/>
        <v>0</v>
      </c>
      <c r="AQ210" s="273">
        <v>624884.9542209012</v>
      </c>
      <c r="AR210" s="273">
        <v>-3289905.708664016</v>
      </c>
      <c r="AS210" s="273">
        <v>1</v>
      </c>
      <c r="AT210" s="273">
        <v>47374</v>
      </c>
      <c r="AU210" s="273">
        <v>0</v>
      </c>
      <c r="AV210" s="273">
        <v>0</v>
      </c>
      <c r="AW210" s="273">
        <v>0</v>
      </c>
      <c r="AX210" s="273">
        <v>0</v>
      </c>
      <c r="AY210" s="273">
        <v>939.02</v>
      </c>
      <c r="AZ210" s="273">
        <v>50.45046963855935</v>
      </c>
      <c r="BA210" s="273">
        <v>38029</v>
      </c>
      <c r="BB210" s="273">
        <v>0.8027398995229451</v>
      </c>
      <c r="BC210" s="273">
        <v>1</v>
      </c>
      <c r="BD210" s="273">
        <v>0</v>
      </c>
      <c r="BE210" s="273">
        <v>46627</v>
      </c>
      <c r="BF210" s="273">
        <v>47374</v>
      </c>
      <c r="BG210" s="273">
        <v>0.016020760503570892</v>
      </c>
      <c r="BH210" s="273">
        <v>0</v>
      </c>
      <c r="BI210" s="273">
        <v>4</v>
      </c>
      <c r="BJ210" s="273">
        <v>8.443449993667413E-05</v>
      </c>
      <c r="BK210" s="273">
        <v>6838738.924564114</v>
      </c>
      <c r="BL210" s="273">
        <v>6173.53</v>
      </c>
    </row>
    <row r="211" spans="6:64" s="273" customFormat="1" ht="12.75">
      <c r="F211" s="273">
        <v>430</v>
      </c>
      <c r="G211" s="273" t="s">
        <v>147</v>
      </c>
      <c r="H211" s="273">
        <v>1078</v>
      </c>
      <c r="I211" s="273">
        <v>149</v>
      </c>
      <c r="J211" s="273">
        <v>1022</v>
      </c>
      <c r="K211" s="273">
        <v>562</v>
      </c>
      <c r="L211" s="273">
        <v>11683</v>
      </c>
      <c r="M211" s="273">
        <v>1998</v>
      </c>
      <c r="N211" s="273">
        <v>1443</v>
      </c>
      <c r="O211" s="273">
        <v>646</v>
      </c>
      <c r="P211" s="273">
        <v>16848</v>
      </c>
      <c r="Q211" s="273">
        <v>1</v>
      </c>
      <c r="R211" s="273">
        <v>30</v>
      </c>
      <c r="S211" s="273">
        <v>848.09</v>
      </c>
      <c r="T211" s="273">
        <v>19.86581612800528</v>
      </c>
      <c r="U211" s="273">
        <v>0</v>
      </c>
      <c r="V211" s="273">
        <v>0</v>
      </c>
      <c r="W211" s="273">
        <v>6873</v>
      </c>
      <c r="X211" s="273">
        <v>759</v>
      </c>
      <c r="Y211" s="273">
        <v>76</v>
      </c>
      <c r="Z211" s="273">
        <v>0.9229253427372065</v>
      </c>
      <c r="AA211" s="273">
        <v>41</v>
      </c>
      <c r="AB211" s="273">
        <v>41</v>
      </c>
      <c r="AC211" s="273">
        <v>1.5743658996142438</v>
      </c>
      <c r="AD211" s="273">
        <v>1066</v>
      </c>
      <c r="AE211" s="273">
        <v>114</v>
      </c>
      <c r="AF211" s="273">
        <v>34</v>
      </c>
      <c r="AG211" s="273">
        <v>9</v>
      </c>
      <c r="AH211" s="273">
        <v>1223</v>
      </c>
      <c r="AI211" s="273">
        <v>1.4433298728855086</v>
      </c>
      <c r="AJ211" s="273">
        <v>7697</v>
      </c>
      <c r="AK211" s="273">
        <v>596</v>
      </c>
      <c r="AL211" s="273">
        <v>0.8192587221293456</v>
      </c>
      <c r="AM211" s="273">
        <v>1.22714447165876</v>
      </c>
      <c r="AN211" s="273">
        <v>0</v>
      </c>
      <c r="AO211" s="273">
        <v>0</v>
      </c>
      <c r="AP211" s="273">
        <f t="shared" si="2"/>
        <v>0</v>
      </c>
      <c r="AQ211" s="273">
        <v>60458.416094228625</v>
      </c>
      <c r="AR211" s="273">
        <v>7215985.617429257</v>
      </c>
      <c r="AS211" s="273">
        <v>1</v>
      </c>
      <c r="AT211" s="273">
        <v>16848</v>
      </c>
      <c r="AU211" s="273">
        <v>0</v>
      </c>
      <c r="AV211" s="273">
        <v>0</v>
      </c>
      <c r="AW211" s="273">
        <v>0</v>
      </c>
      <c r="AX211" s="273">
        <v>0</v>
      </c>
      <c r="AY211" s="273">
        <v>848.09</v>
      </c>
      <c r="AZ211" s="273">
        <v>19.86581612800528</v>
      </c>
      <c r="BA211" s="273">
        <v>10996</v>
      </c>
      <c r="BB211" s="273">
        <v>0.652659069325736</v>
      </c>
      <c r="BC211" s="273">
        <v>0</v>
      </c>
      <c r="BD211" s="273">
        <v>0</v>
      </c>
      <c r="BE211" s="273">
        <v>17102</v>
      </c>
      <c r="BF211" s="273">
        <v>16848</v>
      </c>
      <c r="BG211" s="273">
        <v>-0.014852064086071804</v>
      </c>
      <c r="BH211" s="273">
        <v>0</v>
      </c>
      <c r="BI211" s="273">
        <v>0</v>
      </c>
      <c r="BJ211" s="273">
        <v>0</v>
      </c>
      <c r="BK211" s="273">
        <v>3010660.1982632587</v>
      </c>
      <c r="BL211" s="273">
        <v>6348.24</v>
      </c>
    </row>
    <row r="212" spans="6:64" s="273" customFormat="1" ht="12.75">
      <c r="F212" s="273">
        <v>433</v>
      </c>
      <c r="G212" s="273" t="s">
        <v>148</v>
      </c>
      <c r="H212" s="273">
        <v>721</v>
      </c>
      <c r="I212" s="273">
        <v>114</v>
      </c>
      <c r="J212" s="273">
        <v>698</v>
      </c>
      <c r="K212" s="273">
        <v>336</v>
      </c>
      <c r="L212" s="273">
        <v>6061</v>
      </c>
      <c r="M212" s="273">
        <v>906</v>
      </c>
      <c r="N212" s="273">
        <v>515</v>
      </c>
      <c r="O212" s="273">
        <v>174</v>
      </c>
      <c r="P212" s="273">
        <v>8377</v>
      </c>
      <c r="Q212" s="273">
        <v>6</v>
      </c>
      <c r="R212" s="273">
        <v>9</v>
      </c>
      <c r="S212" s="273">
        <v>597.59</v>
      </c>
      <c r="T212" s="273">
        <v>14.01797218828963</v>
      </c>
      <c r="U212" s="273">
        <v>0</v>
      </c>
      <c r="V212" s="273">
        <v>0</v>
      </c>
      <c r="W212" s="273">
        <v>3576</v>
      </c>
      <c r="X212" s="273">
        <v>267</v>
      </c>
      <c r="Y212" s="273">
        <v>39</v>
      </c>
      <c r="Z212" s="273">
        <v>0.9606607550793763</v>
      </c>
      <c r="AA212" s="273">
        <v>13</v>
      </c>
      <c r="AB212" s="273">
        <v>13</v>
      </c>
      <c r="AC212" s="273">
        <v>1.0039798775308413</v>
      </c>
      <c r="AD212" s="273">
        <v>346</v>
      </c>
      <c r="AE212" s="273">
        <v>40</v>
      </c>
      <c r="AF212" s="273">
        <v>19</v>
      </c>
      <c r="AG212" s="273">
        <v>6</v>
      </c>
      <c r="AH212" s="273">
        <v>411</v>
      </c>
      <c r="AI212" s="273">
        <v>0.9755303909589444</v>
      </c>
      <c r="AJ212" s="273">
        <v>3905</v>
      </c>
      <c r="AK212" s="273">
        <v>233</v>
      </c>
      <c r="AL212" s="273">
        <v>0.6312933047140951</v>
      </c>
      <c r="AM212" s="273">
        <v>0.775503734727158</v>
      </c>
      <c r="AN212" s="273">
        <v>0</v>
      </c>
      <c r="AO212" s="273">
        <v>0</v>
      </c>
      <c r="AP212" s="273">
        <f t="shared" si="2"/>
        <v>0</v>
      </c>
      <c r="AQ212" s="273">
        <v>177263.44181268103</v>
      </c>
      <c r="AR212" s="273">
        <v>3265560.453450002</v>
      </c>
      <c r="AS212" s="273">
        <v>1</v>
      </c>
      <c r="AT212" s="273">
        <v>8377</v>
      </c>
      <c r="AU212" s="273">
        <v>0</v>
      </c>
      <c r="AV212" s="273">
        <v>0</v>
      </c>
      <c r="AW212" s="273">
        <v>0</v>
      </c>
      <c r="AX212" s="273">
        <v>0</v>
      </c>
      <c r="AY212" s="273">
        <v>597.59</v>
      </c>
      <c r="AZ212" s="273">
        <v>14.01797218828963</v>
      </c>
      <c r="BA212" s="273">
        <v>4456</v>
      </c>
      <c r="BB212" s="273">
        <v>0.5319326727945565</v>
      </c>
      <c r="BC212" s="273">
        <v>0</v>
      </c>
      <c r="BD212" s="273">
        <v>0</v>
      </c>
      <c r="BE212" s="273">
        <v>8146</v>
      </c>
      <c r="BF212" s="273">
        <v>8377</v>
      </c>
      <c r="BG212" s="273">
        <v>0.028357476061870855</v>
      </c>
      <c r="BH212" s="273">
        <v>0</v>
      </c>
      <c r="BI212" s="273">
        <v>0</v>
      </c>
      <c r="BJ212" s="273">
        <v>0</v>
      </c>
      <c r="BK212" s="273">
        <v>1420218.7170164085</v>
      </c>
      <c r="BL212" s="273">
        <v>6575.55</v>
      </c>
    </row>
    <row r="213" spans="6:64" s="273" customFormat="1" ht="12.75">
      <c r="F213" s="273">
        <v>434</v>
      </c>
      <c r="G213" s="273" t="s">
        <v>149</v>
      </c>
      <c r="H213" s="273">
        <v>1064</v>
      </c>
      <c r="I213" s="273">
        <v>160</v>
      </c>
      <c r="J213" s="273">
        <v>969</v>
      </c>
      <c r="K213" s="273">
        <v>526</v>
      </c>
      <c r="L213" s="273">
        <v>10952</v>
      </c>
      <c r="M213" s="273">
        <v>1891</v>
      </c>
      <c r="N213" s="273">
        <v>1177</v>
      </c>
      <c r="O213" s="273">
        <v>468</v>
      </c>
      <c r="P213" s="273">
        <v>15552</v>
      </c>
      <c r="Q213" s="273">
        <v>695</v>
      </c>
      <c r="R213" s="273">
        <v>40</v>
      </c>
      <c r="S213" s="273">
        <v>819.74</v>
      </c>
      <c r="T213" s="273">
        <v>18.9718691292361</v>
      </c>
      <c r="U213" s="273">
        <v>1</v>
      </c>
      <c r="V213" s="273">
        <v>1</v>
      </c>
      <c r="W213" s="273">
        <v>6556</v>
      </c>
      <c r="X213" s="273">
        <v>338</v>
      </c>
      <c r="Y213" s="273">
        <v>84</v>
      </c>
      <c r="Z213" s="273">
        <v>0.9829346241295903</v>
      </c>
      <c r="AA213" s="273">
        <v>15</v>
      </c>
      <c r="AB213" s="273">
        <v>15</v>
      </c>
      <c r="AC213" s="273">
        <v>0.6239864846032064</v>
      </c>
      <c r="AD213" s="273">
        <v>695</v>
      </c>
      <c r="AE213" s="273">
        <v>74</v>
      </c>
      <c r="AF213" s="273">
        <v>21</v>
      </c>
      <c r="AG213" s="273">
        <v>5</v>
      </c>
      <c r="AH213" s="273">
        <v>795</v>
      </c>
      <c r="AI213" s="273">
        <v>1.0164087105663484</v>
      </c>
      <c r="AJ213" s="273">
        <v>7246</v>
      </c>
      <c r="AK213" s="273">
        <v>670</v>
      </c>
      <c r="AL213" s="273">
        <v>0.9783016219626413</v>
      </c>
      <c r="AM213" s="273">
        <v>1.02269157151397</v>
      </c>
      <c r="AN213" s="273">
        <v>0</v>
      </c>
      <c r="AO213" s="273">
        <v>0</v>
      </c>
      <c r="AP213" s="273">
        <f t="shared" si="2"/>
        <v>0</v>
      </c>
      <c r="AQ213" s="273">
        <v>298338.15703547</v>
      </c>
      <c r="AR213" s="273">
        <v>-1949877.0685203031</v>
      </c>
      <c r="AS213" s="273">
        <v>1</v>
      </c>
      <c r="AT213" s="273">
        <v>15552</v>
      </c>
      <c r="AU213" s="273">
        <v>1</v>
      </c>
      <c r="AV213" s="273">
        <v>710</v>
      </c>
      <c r="AW213" s="273">
        <v>0.045653292181069956</v>
      </c>
      <c r="AX213" s="273">
        <v>0</v>
      </c>
      <c r="AY213" s="273">
        <v>819.74</v>
      </c>
      <c r="AZ213" s="273">
        <v>18.9718691292361</v>
      </c>
      <c r="BA213" s="273">
        <v>10905</v>
      </c>
      <c r="BB213" s="273">
        <v>0.701195987654321</v>
      </c>
      <c r="BC213" s="273">
        <v>1</v>
      </c>
      <c r="BD213" s="273">
        <v>0</v>
      </c>
      <c r="BE213" s="273">
        <v>15694</v>
      </c>
      <c r="BF213" s="273">
        <v>15552</v>
      </c>
      <c r="BG213" s="273">
        <v>-0.009048043838409583</v>
      </c>
      <c r="BH213" s="273">
        <v>0</v>
      </c>
      <c r="BI213" s="273">
        <v>0</v>
      </c>
      <c r="BJ213" s="273">
        <v>0</v>
      </c>
      <c r="BK213" s="273">
        <v>2779688.554932851</v>
      </c>
      <c r="BL213" s="273">
        <v>6998.59</v>
      </c>
    </row>
    <row r="214" spans="6:64" s="273" customFormat="1" ht="12.75">
      <c r="F214" s="273">
        <v>435</v>
      </c>
      <c r="G214" s="273" t="s">
        <v>150</v>
      </c>
      <c r="H214" s="273">
        <v>30</v>
      </c>
      <c r="I214" s="273">
        <v>4</v>
      </c>
      <c r="J214" s="273">
        <v>39</v>
      </c>
      <c r="K214" s="273">
        <v>16</v>
      </c>
      <c r="L214" s="273">
        <v>470</v>
      </c>
      <c r="M214" s="273">
        <v>145</v>
      </c>
      <c r="N214" s="273">
        <v>114</v>
      </c>
      <c r="O214" s="273">
        <v>43</v>
      </c>
      <c r="P214" s="273">
        <v>802</v>
      </c>
      <c r="Q214" s="273">
        <v>0</v>
      </c>
      <c r="R214" s="273">
        <v>0</v>
      </c>
      <c r="S214" s="273">
        <v>214.53</v>
      </c>
      <c r="T214" s="273">
        <v>3.7384048850976552</v>
      </c>
      <c r="U214" s="273">
        <v>1</v>
      </c>
      <c r="V214" s="273">
        <v>0</v>
      </c>
      <c r="W214" s="273">
        <v>253</v>
      </c>
      <c r="X214" s="273">
        <v>62</v>
      </c>
      <c r="Y214" s="273">
        <v>8</v>
      </c>
      <c r="Z214" s="273">
        <v>0.7598893805344846</v>
      </c>
      <c r="AA214" s="273">
        <v>3</v>
      </c>
      <c r="AB214" s="273">
        <v>2</v>
      </c>
      <c r="AC214" s="273">
        <v>1.6133396190439013</v>
      </c>
      <c r="AD214" s="273">
        <v>78</v>
      </c>
      <c r="AE214" s="273">
        <v>5</v>
      </c>
      <c r="AF214" s="273">
        <v>2</v>
      </c>
      <c r="AG214" s="273">
        <v>0</v>
      </c>
      <c r="AH214" s="273">
        <v>85</v>
      </c>
      <c r="AI214" s="273">
        <v>2.1073275971578402</v>
      </c>
      <c r="AJ214" s="273">
        <v>288</v>
      </c>
      <c r="AK214" s="273">
        <v>27</v>
      </c>
      <c r="AL214" s="273">
        <v>0.9918992844320846</v>
      </c>
      <c r="AM214" s="273">
        <v>1.74173073507965</v>
      </c>
      <c r="AN214" s="273">
        <v>0</v>
      </c>
      <c r="AO214" s="273">
        <v>0</v>
      </c>
      <c r="AP214" s="273">
        <f t="shared" si="2"/>
        <v>0</v>
      </c>
      <c r="AQ214" s="273">
        <v>215879.84020721586</v>
      </c>
      <c r="AR214" s="273">
        <v>758710.9077684209</v>
      </c>
      <c r="AS214" s="273">
        <v>1</v>
      </c>
      <c r="AT214" s="273">
        <v>802</v>
      </c>
      <c r="AU214" s="273">
        <v>1</v>
      </c>
      <c r="AV214" s="273">
        <v>359</v>
      </c>
      <c r="AW214" s="273">
        <v>0.4476309226932668</v>
      </c>
      <c r="AX214" s="273">
        <v>0.4242</v>
      </c>
      <c r="AY214" s="273">
        <v>214.53</v>
      </c>
      <c r="AZ214" s="273">
        <v>3.7384048850976552</v>
      </c>
      <c r="BA214" s="273">
        <v>0</v>
      </c>
      <c r="BB214" s="273">
        <v>0</v>
      </c>
      <c r="BC214" s="273">
        <v>0</v>
      </c>
      <c r="BD214" s="273">
        <v>0</v>
      </c>
      <c r="BE214" s="273">
        <v>837</v>
      </c>
      <c r="BF214" s="273">
        <v>802</v>
      </c>
      <c r="BG214" s="273">
        <v>-0.04181600955794504</v>
      </c>
      <c r="BH214" s="273">
        <v>0</v>
      </c>
      <c r="BI214" s="273">
        <v>0</v>
      </c>
      <c r="BJ214" s="273">
        <v>0</v>
      </c>
      <c r="BK214" s="273">
        <v>199939.7922165759</v>
      </c>
      <c r="BL214" s="273">
        <v>7542.98</v>
      </c>
    </row>
    <row r="215" spans="6:64" s="273" customFormat="1" ht="12.75">
      <c r="F215" s="273">
        <v>436</v>
      </c>
      <c r="G215" s="273" t="s">
        <v>151</v>
      </c>
      <c r="H215" s="273">
        <v>295</v>
      </c>
      <c r="I215" s="273">
        <v>44</v>
      </c>
      <c r="J215" s="273">
        <v>218</v>
      </c>
      <c r="K215" s="273">
        <v>100</v>
      </c>
      <c r="L215" s="273">
        <v>1441</v>
      </c>
      <c r="M215" s="273">
        <v>145</v>
      </c>
      <c r="N215" s="273">
        <v>114</v>
      </c>
      <c r="O215" s="273">
        <v>42</v>
      </c>
      <c r="P215" s="273">
        <v>2037</v>
      </c>
      <c r="Q215" s="273">
        <v>0</v>
      </c>
      <c r="R215" s="273">
        <v>0</v>
      </c>
      <c r="S215" s="273">
        <v>213.19</v>
      </c>
      <c r="T215" s="273">
        <v>9.554857169660867</v>
      </c>
      <c r="U215" s="273">
        <v>0</v>
      </c>
      <c r="V215" s="273">
        <v>0</v>
      </c>
      <c r="W215" s="273">
        <v>720</v>
      </c>
      <c r="X215" s="273">
        <v>101</v>
      </c>
      <c r="Y215" s="273">
        <v>12</v>
      </c>
      <c r="Z215" s="273">
        <v>0.8856782943082979</v>
      </c>
      <c r="AA215" s="273">
        <v>1</v>
      </c>
      <c r="AB215" s="273">
        <v>2</v>
      </c>
      <c r="AC215" s="273">
        <v>0.6351980237963716</v>
      </c>
      <c r="AD215" s="273">
        <v>81</v>
      </c>
      <c r="AE215" s="273">
        <v>19</v>
      </c>
      <c r="AF215" s="273">
        <v>1</v>
      </c>
      <c r="AG215" s="273">
        <v>0</v>
      </c>
      <c r="AH215" s="273">
        <v>101</v>
      </c>
      <c r="AI215" s="273">
        <v>0.9858658928931207</v>
      </c>
      <c r="AJ215" s="273">
        <v>818</v>
      </c>
      <c r="AK215" s="273">
        <v>77</v>
      </c>
      <c r="AL215" s="273">
        <v>0.9959412538062986</v>
      </c>
      <c r="AM215" s="273">
        <v>0.929242625956879</v>
      </c>
      <c r="AN215" s="273">
        <v>0</v>
      </c>
      <c r="AO215" s="273">
        <v>0</v>
      </c>
      <c r="AP215" s="273">
        <f t="shared" si="2"/>
        <v>0</v>
      </c>
      <c r="AQ215" s="273">
        <v>-8187.144025707617</v>
      </c>
      <c r="AR215" s="273">
        <v>1824957.1574048777</v>
      </c>
      <c r="AS215" s="273">
        <v>0</v>
      </c>
      <c r="AT215" s="273">
        <v>2037</v>
      </c>
      <c r="AU215" s="273">
        <v>0</v>
      </c>
      <c r="AV215" s="273">
        <v>0</v>
      </c>
      <c r="AW215" s="273">
        <v>0</v>
      </c>
      <c r="AX215" s="273">
        <v>0</v>
      </c>
      <c r="AY215" s="273">
        <v>213.19</v>
      </c>
      <c r="AZ215" s="273">
        <v>9.554857169660867</v>
      </c>
      <c r="BA215" s="273">
        <v>1213</v>
      </c>
      <c r="BB215" s="273">
        <v>0.5954835542464408</v>
      </c>
      <c r="BC215" s="273">
        <v>0</v>
      </c>
      <c r="BD215" s="273">
        <v>0</v>
      </c>
      <c r="BE215" s="273">
        <v>1941</v>
      </c>
      <c r="BF215" s="273">
        <v>2037</v>
      </c>
      <c r="BG215" s="273">
        <v>0.04945904173106646</v>
      </c>
      <c r="BH215" s="273">
        <v>0</v>
      </c>
      <c r="BI215" s="273">
        <v>0</v>
      </c>
      <c r="BJ215" s="273">
        <v>0</v>
      </c>
      <c r="BK215" s="273">
        <v>349481.30668900715</v>
      </c>
      <c r="BL215" s="273">
        <v>6822.88</v>
      </c>
    </row>
    <row r="216" spans="6:64" s="273" customFormat="1" ht="12.75">
      <c r="F216" s="273">
        <v>440</v>
      </c>
      <c r="G216" s="273" t="s">
        <v>152</v>
      </c>
      <c r="H216" s="273">
        <v>719</v>
      </c>
      <c r="I216" s="273">
        <v>94</v>
      </c>
      <c r="J216" s="273">
        <v>537</v>
      </c>
      <c r="K216" s="273">
        <v>273</v>
      </c>
      <c r="L216" s="273">
        <v>3580</v>
      </c>
      <c r="M216" s="273">
        <v>352</v>
      </c>
      <c r="N216" s="273">
        <v>216</v>
      </c>
      <c r="O216" s="273">
        <v>54</v>
      </c>
      <c r="P216" s="273">
        <v>4921</v>
      </c>
      <c r="Q216" s="273">
        <v>857</v>
      </c>
      <c r="R216" s="273">
        <v>16</v>
      </c>
      <c r="S216" s="273">
        <v>142.44</v>
      </c>
      <c r="T216" s="273">
        <v>34.547879809042406</v>
      </c>
      <c r="U216" s="273">
        <v>1</v>
      </c>
      <c r="V216" s="273">
        <v>2</v>
      </c>
      <c r="W216" s="273">
        <v>1888</v>
      </c>
      <c r="X216" s="273">
        <v>47</v>
      </c>
      <c r="Y216" s="273">
        <v>10</v>
      </c>
      <c r="Z216" s="273">
        <v>1.0188404079458886</v>
      </c>
      <c r="AA216" s="273">
        <v>2</v>
      </c>
      <c r="AB216" s="273">
        <v>2</v>
      </c>
      <c r="AC216" s="273">
        <v>0.26293403260987785</v>
      </c>
      <c r="AD216" s="273">
        <v>126</v>
      </c>
      <c r="AE216" s="273">
        <v>44</v>
      </c>
      <c r="AF216" s="273">
        <v>10</v>
      </c>
      <c r="AG216" s="273">
        <v>0</v>
      </c>
      <c r="AH216" s="273">
        <v>180</v>
      </c>
      <c r="AI216" s="273">
        <v>0.7272883606290108</v>
      </c>
      <c r="AJ216" s="273">
        <v>2037</v>
      </c>
      <c r="AK216" s="273">
        <v>75</v>
      </c>
      <c r="AL216" s="273">
        <v>0.38955298357666557</v>
      </c>
      <c r="AM216" s="273">
        <v>0.781256834691094</v>
      </c>
      <c r="AN216" s="273">
        <v>0</v>
      </c>
      <c r="AO216" s="273">
        <v>0</v>
      </c>
      <c r="AP216" s="273">
        <f t="shared" si="2"/>
        <v>0</v>
      </c>
      <c r="AQ216" s="273">
        <v>14361.762467931956</v>
      </c>
      <c r="AR216" s="273">
        <v>3215034.001821621</v>
      </c>
      <c r="AS216" s="273">
        <v>1</v>
      </c>
      <c r="AT216" s="273">
        <v>4921</v>
      </c>
      <c r="AU216" s="273">
        <v>1</v>
      </c>
      <c r="AV216" s="273">
        <v>1951</v>
      </c>
      <c r="AW216" s="273">
        <v>0.3964641333062386</v>
      </c>
      <c r="AX216" s="273">
        <v>0</v>
      </c>
      <c r="AY216" s="273">
        <v>142.44</v>
      </c>
      <c r="AZ216" s="273">
        <v>34.547879809042406</v>
      </c>
      <c r="BA216" s="273">
        <v>3867</v>
      </c>
      <c r="BB216" s="273">
        <v>0.7858158910790489</v>
      </c>
      <c r="BC216" s="273">
        <v>2</v>
      </c>
      <c r="BD216" s="273">
        <v>0</v>
      </c>
      <c r="BE216" s="273">
        <v>4651</v>
      </c>
      <c r="BF216" s="273">
        <v>4921</v>
      </c>
      <c r="BG216" s="273">
        <v>0.058052031821113736</v>
      </c>
      <c r="BH216" s="273">
        <v>0</v>
      </c>
      <c r="BI216" s="273">
        <v>0</v>
      </c>
      <c r="BJ216" s="273">
        <v>0</v>
      </c>
      <c r="BK216" s="273">
        <v>677345.6148151413</v>
      </c>
      <c r="BL216" s="273">
        <v>6743.94</v>
      </c>
    </row>
    <row r="217" spans="6:64" s="273" customFormat="1" ht="12.75">
      <c r="F217" s="273">
        <v>441</v>
      </c>
      <c r="G217" s="273" t="s">
        <v>153</v>
      </c>
      <c r="H217" s="273">
        <v>319</v>
      </c>
      <c r="I217" s="273">
        <v>46</v>
      </c>
      <c r="J217" s="273">
        <v>302</v>
      </c>
      <c r="K217" s="273">
        <v>162</v>
      </c>
      <c r="L217" s="273">
        <v>3434</v>
      </c>
      <c r="M217" s="273">
        <v>680</v>
      </c>
      <c r="N217" s="273">
        <v>484</v>
      </c>
      <c r="O217" s="273">
        <v>202</v>
      </c>
      <c r="P217" s="273">
        <v>5119</v>
      </c>
      <c r="Q217" s="273">
        <v>3</v>
      </c>
      <c r="R217" s="273">
        <v>8</v>
      </c>
      <c r="S217" s="273">
        <v>750.07</v>
      </c>
      <c r="T217" s="273">
        <v>6.82469636167291</v>
      </c>
      <c r="U217" s="273">
        <v>0</v>
      </c>
      <c r="V217" s="273">
        <v>0</v>
      </c>
      <c r="W217" s="273">
        <v>1944</v>
      </c>
      <c r="X217" s="273">
        <v>283</v>
      </c>
      <c r="Y217" s="273">
        <v>19</v>
      </c>
      <c r="Z217" s="273">
        <v>0.8873535659614529</v>
      </c>
      <c r="AA217" s="273">
        <v>1</v>
      </c>
      <c r="AB217" s="273">
        <v>2</v>
      </c>
      <c r="AC217" s="273">
        <v>0.25276389421238693</v>
      </c>
      <c r="AD217" s="273">
        <v>258</v>
      </c>
      <c r="AE217" s="273">
        <v>21</v>
      </c>
      <c r="AF217" s="273">
        <v>9</v>
      </c>
      <c r="AG217" s="273">
        <v>0</v>
      </c>
      <c r="AH217" s="273">
        <v>288</v>
      </c>
      <c r="AI217" s="273">
        <v>1.118651618724083</v>
      </c>
      <c r="AJ217" s="273">
        <v>2261</v>
      </c>
      <c r="AK217" s="273">
        <v>234</v>
      </c>
      <c r="AL217" s="273">
        <v>1.094993637303177</v>
      </c>
      <c r="AM217" s="273">
        <v>0.925953204674027</v>
      </c>
      <c r="AN217" s="273">
        <v>0</v>
      </c>
      <c r="AO217" s="273">
        <v>0</v>
      </c>
      <c r="AP217" s="273">
        <f t="shared" si="2"/>
        <v>0</v>
      </c>
      <c r="AQ217" s="273">
        <v>-3537.7496837247163</v>
      </c>
      <c r="AR217" s="273">
        <v>1932347.4767499971</v>
      </c>
      <c r="AS217" s="273">
        <v>1</v>
      </c>
      <c r="AT217" s="273">
        <v>5119</v>
      </c>
      <c r="AU217" s="273">
        <v>0</v>
      </c>
      <c r="AV217" s="273">
        <v>0</v>
      </c>
      <c r="AW217" s="273">
        <v>0</v>
      </c>
      <c r="AX217" s="273">
        <v>0.2542</v>
      </c>
      <c r="AY217" s="273">
        <v>750.07</v>
      </c>
      <c r="AZ217" s="273">
        <v>6.82469636167291</v>
      </c>
      <c r="BA217" s="273">
        <v>3062</v>
      </c>
      <c r="BB217" s="273">
        <v>0.5981637038484079</v>
      </c>
      <c r="BC217" s="273">
        <v>0</v>
      </c>
      <c r="BD217" s="273">
        <v>0</v>
      </c>
      <c r="BE217" s="273">
        <v>5179</v>
      </c>
      <c r="BF217" s="273">
        <v>5119</v>
      </c>
      <c r="BG217" s="273">
        <v>-0.011585248117397182</v>
      </c>
      <c r="BH217" s="273">
        <v>0</v>
      </c>
      <c r="BI217" s="273">
        <v>0</v>
      </c>
      <c r="BJ217" s="273">
        <v>0</v>
      </c>
      <c r="BK217" s="273">
        <v>1042873.1365478024</v>
      </c>
      <c r="BL217" s="273">
        <v>7072.45</v>
      </c>
    </row>
    <row r="218" spans="6:64" s="273" customFormat="1" ht="12.75">
      <c r="F218" s="273">
        <v>442</v>
      </c>
      <c r="G218" s="273" t="s">
        <v>154</v>
      </c>
      <c r="H218" s="273">
        <v>288</v>
      </c>
      <c r="I218" s="273">
        <v>37</v>
      </c>
      <c r="J218" s="273">
        <v>250</v>
      </c>
      <c r="K218" s="273">
        <v>104</v>
      </c>
      <c r="L218" s="273">
        <v>2384</v>
      </c>
      <c r="M218" s="273">
        <v>399</v>
      </c>
      <c r="N218" s="273">
        <v>199</v>
      </c>
      <c r="O218" s="273">
        <v>83</v>
      </c>
      <c r="P218" s="273">
        <v>3353</v>
      </c>
      <c r="Q218" s="273">
        <v>0</v>
      </c>
      <c r="R218" s="273">
        <v>3</v>
      </c>
      <c r="S218" s="273">
        <v>169.07</v>
      </c>
      <c r="T218" s="273">
        <v>19.83202223930916</v>
      </c>
      <c r="U218" s="273">
        <v>0</v>
      </c>
      <c r="V218" s="273">
        <v>0</v>
      </c>
      <c r="W218" s="273">
        <v>1388</v>
      </c>
      <c r="X218" s="273">
        <v>62</v>
      </c>
      <c r="Y218" s="273">
        <v>18</v>
      </c>
      <c r="Z218" s="273">
        <v>0.9900065879434724</v>
      </c>
      <c r="AA218" s="273">
        <v>3</v>
      </c>
      <c r="AB218" s="273">
        <v>2</v>
      </c>
      <c r="AC218" s="273">
        <v>0.3858927451456036</v>
      </c>
      <c r="AD218" s="273">
        <v>109</v>
      </c>
      <c r="AE218" s="273">
        <v>22</v>
      </c>
      <c r="AF218" s="273">
        <v>5</v>
      </c>
      <c r="AG218" s="273">
        <v>5</v>
      </c>
      <c r="AH218" s="273">
        <v>141</v>
      </c>
      <c r="AI218" s="273">
        <v>0.836128556838662</v>
      </c>
      <c r="AJ218" s="273">
        <v>1549</v>
      </c>
      <c r="AK218" s="273">
        <v>133</v>
      </c>
      <c r="AL218" s="273">
        <v>0.9084405755418448</v>
      </c>
      <c r="AM218" s="273">
        <v>0.706558718210685</v>
      </c>
      <c r="AN218" s="273">
        <v>0</v>
      </c>
      <c r="AO218" s="273">
        <v>0</v>
      </c>
      <c r="AP218" s="273">
        <f t="shared" si="2"/>
        <v>0</v>
      </c>
      <c r="AQ218" s="273">
        <v>13104.828108857386</v>
      </c>
      <c r="AR218" s="273">
        <v>502338.7916526297</v>
      </c>
      <c r="AS218" s="273">
        <v>1</v>
      </c>
      <c r="AT218" s="273">
        <v>3353</v>
      </c>
      <c r="AU218" s="273">
        <v>0</v>
      </c>
      <c r="AV218" s="273">
        <v>0</v>
      </c>
      <c r="AW218" s="273">
        <v>0</v>
      </c>
      <c r="AX218" s="273">
        <v>0</v>
      </c>
      <c r="AY218" s="273">
        <v>169.07</v>
      </c>
      <c r="AZ218" s="273">
        <v>19.83202223930916</v>
      </c>
      <c r="BA218" s="273">
        <v>1945</v>
      </c>
      <c r="BB218" s="273">
        <v>0.5800775424992544</v>
      </c>
      <c r="BC218" s="273">
        <v>0</v>
      </c>
      <c r="BD218" s="273">
        <v>0</v>
      </c>
      <c r="BE218" s="273">
        <v>3317</v>
      </c>
      <c r="BF218" s="273">
        <v>3353</v>
      </c>
      <c r="BG218" s="273">
        <v>0.010853180584865842</v>
      </c>
      <c r="BH218" s="273">
        <v>0</v>
      </c>
      <c r="BI218" s="273">
        <v>0</v>
      </c>
      <c r="BJ218" s="273">
        <v>0</v>
      </c>
      <c r="BK218" s="273">
        <v>568721.0792914103</v>
      </c>
      <c r="BL218" s="273">
        <v>6334.37</v>
      </c>
    </row>
    <row r="219" spans="6:64" s="273" customFormat="1" ht="12.75">
      <c r="F219" s="273">
        <v>475</v>
      </c>
      <c r="G219" s="273" t="s">
        <v>155</v>
      </c>
      <c r="H219" s="273">
        <v>422</v>
      </c>
      <c r="I219" s="273">
        <v>57</v>
      </c>
      <c r="J219" s="273">
        <v>316</v>
      </c>
      <c r="K219" s="273">
        <v>179</v>
      </c>
      <c r="L219" s="273">
        <v>3821</v>
      </c>
      <c r="M219" s="273">
        <v>664</v>
      </c>
      <c r="N219" s="273">
        <v>444</v>
      </c>
      <c r="O219" s="273">
        <v>263</v>
      </c>
      <c r="P219" s="273">
        <v>5614</v>
      </c>
      <c r="Q219" s="273">
        <v>481</v>
      </c>
      <c r="R219" s="273">
        <v>31</v>
      </c>
      <c r="S219" s="273">
        <v>521.31</v>
      </c>
      <c r="T219" s="273">
        <v>10.769024189062172</v>
      </c>
      <c r="U219" s="273">
        <v>2</v>
      </c>
      <c r="V219" s="273">
        <v>3</v>
      </c>
      <c r="W219" s="273">
        <v>2475</v>
      </c>
      <c r="X219" s="273">
        <v>271</v>
      </c>
      <c r="Y219" s="273">
        <v>23</v>
      </c>
      <c r="Z219" s="273">
        <v>0.925763958609626</v>
      </c>
      <c r="AA219" s="273">
        <v>0</v>
      </c>
      <c r="AB219" s="273">
        <v>2</v>
      </c>
      <c r="AC219" s="273">
        <v>0.23047708843484305</v>
      </c>
      <c r="AD219" s="273">
        <v>291</v>
      </c>
      <c r="AE219" s="273">
        <v>32</v>
      </c>
      <c r="AF219" s="273">
        <v>9</v>
      </c>
      <c r="AG219" s="273">
        <v>1</v>
      </c>
      <c r="AH219" s="273">
        <v>333</v>
      </c>
      <c r="AI219" s="273">
        <v>1.1793951089975812</v>
      </c>
      <c r="AJ219" s="273">
        <v>2636</v>
      </c>
      <c r="AK219" s="273">
        <v>129</v>
      </c>
      <c r="AL219" s="273">
        <v>0.5177744367900412</v>
      </c>
      <c r="AM219" s="273">
        <v>0.75910698375024</v>
      </c>
      <c r="AN219" s="273">
        <v>0</v>
      </c>
      <c r="AO219" s="273">
        <v>0</v>
      </c>
      <c r="AP219" s="273">
        <f t="shared" si="2"/>
        <v>0</v>
      </c>
      <c r="AQ219" s="273">
        <v>102448.75923616439</v>
      </c>
      <c r="AR219" s="273">
        <v>2449480.9560556947</v>
      </c>
      <c r="AS219" s="273">
        <v>1</v>
      </c>
      <c r="AT219" s="273">
        <v>5614</v>
      </c>
      <c r="AU219" s="273">
        <v>2</v>
      </c>
      <c r="AV219" s="273">
        <v>0</v>
      </c>
      <c r="AW219" s="273">
        <v>0</v>
      </c>
      <c r="AX219" s="273">
        <v>0</v>
      </c>
      <c r="AY219" s="273">
        <v>521.31</v>
      </c>
      <c r="AZ219" s="273">
        <v>10.769024189062172</v>
      </c>
      <c r="BA219" s="273">
        <v>3764</v>
      </c>
      <c r="BB219" s="273">
        <v>0.6704666904168151</v>
      </c>
      <c r="BC219" s="273">
        <v>3</v>
      </c>
      <c r="BD219" s="273">
        <v>0</v>
      </c>
      <c r="BE219" s="273">
        <v>5549</v>
      </c>
      <c r="BF219" s="273">
        <v>5614</v>
      </c>
      <c r="BG219" s="273">
        <v>0.011713822310326185</v>
      </c>
      <c r="BH219" s="273">
        <v>0</v>
      </c>
      <c r="BI219" s="273">
        <v>0</v>
      </c>
      <c r="BJ219" s="273">
        <v>0</v>
      </c>
      <c r="BK219" s="273">
        <v>1027912.3651196128</v>
      </c>
      <c r="BL219" s="273">
        <v>8192.4</v>
      </c>
    </row>
    <row r="220" spans="6:64" s="273" customFormat="1" ht="12.75">
      <c r="F220" s="273">
        <v>476</v>
      </c>
      <c r="G220" s="273" t="s">
        <v>156</v>
      </c>
      <c r="H220" s="273">
        <v>288</v>
      </c>
      <c r="I220" s="273">
        <v>42</v>
      </c>
      <c r="J220" s="273">
        <v>286</v>
      </c>
      <c r="K220" s="273">
        <v>144</v>
      </c>
      <c r="L220" s="273">
        <v>2723</v>
      </c>
      <c r="M220" s="273">
        <v>444</v>
      </c>
      <c r="N220" s="273">
        <v>289</v>
      </c>
      <c r="O220" s="273">
        <v>97</v>
      </c>
      <c r="P220" s="273">
        <v>3841</v>
      </c>
      <c r="Q220" s="273">
        <v>0</v>
      </c>
      <c r="R220" s="273">
        <v>7</v>
      </c>
      <c r="S220" s="273">
        <v>466.51</v>
      </c>
      <c r="T220" s="273">
        <v>8.233478382028252</v>
      </c>
      <c r="U220" s="273">
        <v>0</v>
      </c>
      <c r="V220" s="273">
        <v>0</v>
      </c>
      <c r="W220" s="273">
        <v>1478</v>
      </c>
      <c r="X220" s="273">
        <v>289</v>
      </c>
      <c r="Y220" s="273">
        <v>20</v>
      </c>
      <c r="Z220" s="273">
        <v>0.8309212845550313</v>
      </c>
      <c r="AA220" s="273">
        <v>7</v>
      </c>
      <c r="AB220" s="273">
        <v>7</v>
      </c>
      <c r="AC220" s="273">
        <v>1.1790274175100834</v>
      </c>
      <c r="AD220" s="273">
        <v>265</v>
      </c>
      <c r="AE220" s="273">
        <v>17</v>
      </c>
      <c r="AF220" s="273">
        <v>8</v>
      </c>
      <c r="AG220" s="273">
        <v>4</v>
      </c>
      <c r="AH220" s="273">
        <v>294</v>
      </c>
      <c r="AI220" s="273">
        <v>1.5219154309651373</v>
      </c>
      <c r="AJ220" s="273">
        <v>1666</v>
      </c>
      <c r="AK220" s="273">
        <v>150</v>
      </c>
      <c r="AL220" s="273">
        <v>0.95260435479672</v>
      </c>
      <c r="AM220" s="273">
        <v>1.4450833132877</v>
      </c>
      <c r="AN220" s="273">
        <v>0</v>
      </c>
      <c r="AO220" s="273">
        <v>0</v>
      </c>
      <c r="AP220" s="273">
        <f t="shared" si="2"/>
        <v>0</v>
      </c>
      <c r="AQ220" s="273">
        <v>52946.32148560323</v>
      </c>
      <c r="AR220" s="273">
        <v>2742767.574492307</v>
      </c>
      <c r="AS220" s="273">
        <v>1</v>
      </c>
      <c r="AT220" s="273">
        <v>3841</v>
      </c>
      <c r="AU220" s="273">
        <v>0</v>
      </c>
      <c r="AV220" s="273">
        <v>0</v>
      </c>
      <c r="AW220" s="273">
        <v>0</v>
      </c>
      <c r="AX220" s="273">
        <v>0</v>
      </c>
      <c r="AY220" s="273">
        <v>466.51</v>
      </c>
      <c r="AZ220" s="273">
        <v>8.233478382028252</v>
      </c>
      <c r="BA220" s="273">
        <v>1279</v>
      </c>
      <c r="BB220" s="273">
        <v>0.33298620151002345</v>
      </c>
      <c r="BC220" s="273">
        <v>0</v>
      </c>
      <c r="BD220" s="273">
        <v>0</v>
      </c>
      <c r="BE220" s="273">
        <v>3855</v>
      </c>
      <c r="BF220" s="273">
        <v>3841</v>
      </c>
      <c r="BG220" s="273">
        <v>-0.0036316472114137485</v>
      </c>
      <c r="BH220" s="273">
        <v>0</v>
      </c>
      <c r="BI220" s="273">
        <v>0</v>
      </c>
      <c r="BJ220" s="273">
        <v>0</v>
      </c>
      <c r="BK220" s="273">
        <v>835285.0518997627</v>
      </c>
      <c r="BL220" s="273">
        <v>6941.89</v>
      </c>
    </row>
    <row r="221" spans="6:64" s="273" customFormat="1" ht="12.75">
      <c r="F221" s="273">
        <v>480</v>
      </c>
      <c r="G221" s="273" t="s">
        <v>157</v>
      </c>
      <c r="H221" s="273">
        <v>133</v>
      </c>
      <c r="I221" s="273">
        <v>12</v>
      </c>
      <c r="J221" s="273">
        <v>126</v>
      </c>
      <c r="K221" s="273">
        <v>71</v>
      </c>
      <c r="L221" s="273">
        <v>1391</v>
      </c>
      <c r="M221" s="273">
        <v>245</v>
      </c>
      <c r="N221" s="273">
        <v>158</v>
      </c>
      <c r="O221" s="273">
        <v>71</v>
      </c>
      <c r="P221" s="273">
        <v>1998</v>
      </c>
      <c r="Q221" s="273">
        <v>2</v>
      </c>
      <c r="R221" s="273">
        <v>2</v>
      </c>
      <c r="S221" s="273">
        <v>195.28</v>
      </c>
      <c r="T221" s="273">
        <v>10.231462515362557</v>
      </c>
      <c r="U221" s="273">
        <v>0</v>
      </c>
      <c r="V221" s="273">
        <v>0</v>
      </c>
      <c r="W221" s="273">
        <v>851</v>
      </c>
      <c r="X221" s="273">
        <v>137</v>
      </c>
      <c r="Y221" s="273">
        <v>16</v>
      </c>
      <c r="Z221" s="273">
        <v>0.8616793182312469</v>
      </c>
      <c r="AA221" s="273">
        <v>3</v>
      </c>
      <c r="AB221" s="273">
        <v>2</v>
      </c>
      <c r="AC221" s="273">
        <v>0.647596784020625</v>
      </c>
      <c r="AD221" s="273">
        <v>117</v>
      </c>
      <c r="AE221" s="273">
        <v>24</v>
      </c>
      <c r="AF221" s="273">
        <v>2</v>
      </c>
      <c r="AG221" s="273">
        <v>4</v>
      </c>
      <c r="AH221" s="273">
        <v>147</v>
      </c>
      <c r="AI221" s="273">
        <v>1.462882174759032</v>
      </c>
      <c r="AJ221" s="273">
        <v>942</v>
      </c>
      <c r="AK221" s="273">
        <v>65</v>
      </c>
      <c r="AL221" s="273">
        <v>0.7300603367369909</v>
      </c>
      <c r="AM221" s="273">
        <v>1.03908907645843</v>
      </c>
      <c r="AN221" s="273">
        <v>0</v>
      </c>
      <c r="AO221" s="273">
        <v>0</v>
      </c>
      <c r="AP221" s="273">
        <f t="shared" si="2"/>
        <v>0</v>
      </c>
      <c r="AQ221" s="273">
        <v>-2801.1581095047295</v>
      </c>
      <c r="AR221" s="273">
        <v>993951.7510441543</v>
      </c>
      <c r="AS221" s="273">
        <v>0</v>
      </c>
      <c r="AT221" s="273">
        <v>1998</v>
      </c>
      <c r="AU221" s="273">
        <v>0</v>
      </c>
      <c r="AV221" s="273">
        <v>0</v>
      </c>
      <c r="AW221" s="273">
        <v>0</v>
      </c>
      <c r="AX221" s="273">
        <v>0</v>
      </c>
      <c r="AY221" s="273">
        <v>195.28</v>
      </c>
      <c r="AZ221" s="273">
        <v>10.231462515362557</v>
      </c>
      <c r="BA221" s="273">
        <v>823</v>
      </c>
      <c r="BB221" s="273">
        <v>0.4119119119119119</v>
      </c>
      <c r="BC221" s="273">
        <v>0</v>
      </c>
      <c r="BD221" s="273">
        <v>0</v>
      </c>
      <c r="BE221" s="273">
        <v>2030</v>
      </c>
      <c r="BF221" s="273">
        <v>1998</v>
      </c>
      <c r="BG221" s="273">
        <v>-0.015763546798029555</v>
      </c>
      <c r="BH221" s="273">
        <v>0</v>
      </c>
      <c r="BI221" s="273">
        <v>0</v>
      </c>
      <c r="BJ221" s="273">
        <v>0</v>
      </c>
      <c r="BK221" s="273">
        <v>391967.14439717913</v>
      </c>
      <c r="BL221" s="273">
        <v>6792.75</v>
      </c>
    </row>
    <row r="222" spans="6:64" s="273" customFormat="1" ht="12.75">
      <c r="F222" s="273">
        <v>481</v>
      </c>
      <c r="G222" s="273" t="s">
        <v>158</v>
      </c>
      <c r="H222" s="273">
        <v>1015</v>
      </c>
      <c r="I222" s="273">
        <v>172</v>
      </c>
      <c r="J222" s="273">
        <v>852</v>
      </c>
      <c r="K222" s="273">
        <v>443</v>
      </c>
      <c r="L222" s="273">
        <v>7240</v>
      </c>
      <c r="M222" s="273">
        <v>830</v>
      </c>
      <c r="N222" s="273">
        <v>374</v>
      </c>
      <c r="O222" s="273">
        <v>126</v>
      </c>
      <c r="P222" s="273">
        <v>9585</v>
      </c>
      <c r="Q222" s="273">
        <v>10</v>
      </c>
      <c r="R222" s="273">
        <v>6</v>
      </c>
      <c r="S222" s="273">
        <v>174.9</v>
      </c>
      <c r="T222" s="273">
        <v>54.80274442538593</v>
      </c>
      <c r="U222" s="273">
        <v>0</v>
      </c>
      <c r="V222" s="273">
        <v>0</v>
      </c>
      <c r="W222" s="273">
        <v>4488</v>
      </c>
      <c r="X222" s="273">
        <v>158</v>
      </c>
      <c r="Y222" s="273">
        <v>37</v>
      </c>
      <c r="Z222" s="273">
        <v>1.0049115710997867</v>
      </c>
      <c r="AA222" s="273">
        <v>9</v>
      </c>
      <c r="AB222" s="273">
        <v>9</v>
      </c>
      <c r="AC222" s="273">
        <v>0.6074640255742765</v>
      </c>
      <c r="AD222" s="273">
        <v>275</v>
      </c>
      <c r="AE222" s="273">
        <v>94</v>
      </c>
      <c r="AF222" s="273">
        <v>19</v>
      </c>
      <c r="AG222" s="273">
        <v>2</v>
      </c>
      <c r="AH222" s="273">
        <v>390</v>
      </c>
      <c r="AI222" s="273">
        <v>0.8090213579293986</v>
      </c>
      <c r="AJ222" s="273">
        <v>4836</v>
      </c>
      <c r="AK222" s="273">
        <v>264</v>
      </c>
      <c r="AL222" s="273">
        <v>0.577582379024142</v>
      </c>
      <c r="AM222" s="273">
        <v>0.662375112276041</v>
      </c>
      <c r="AN222" s="273">
        <v>0</v>
      </c>
      <c r="AO222" s="273">
        <v>0</v>
      </c>
      <c r="AP222" s="273">
        <f t="shared" si="2"/>
        <v>0</v>
      </c>
      <c r="AQ222" s="273">
        <v>32000.689960744232</v>
      </c>
      <c r="AR222" s="273">
        <v>-907609.1310602855</v>
      </c>
      <c r="AS222" s="273">
        <v>1</v>
      </c>
      <c r="AT222" s="273">
        <v>9585</v>
      </c>
      <c r="AU222" s="273">
        <v>0</v>
      </c>
      <c r="AV222" s="273">
        <v>0</v>
      </c>
      <c r="AW222" s="273">
        <v>0</v>
      </c>
      <c r="AX222" s="273">
        <v>0</v>
      </c>
      <c r="AY222" s="273">
        <v>174.9</v>
      </c>
      <c r="AZ222" s="273">
        <v>54.80274442538593</v>
      </c>
      <c r="BA222" s="273">
        <v>7350</v>
      </c>
      <c r="BB222" s="273">
        <v>0.7668231611893583</v>
      </c>
      <c r="BC222" s="273">
        <v>0</v>
      </c>
      <c r="BD222" s="273">
        <v>0</v>
      </c>
      <c r="BE222" s="273">
        <v>9383</v>
      </c>
      <c r="BF222" s="273">
        <v>9585</v>
      </c>
      <c r="BG222" s="273">
        <v>0.02152829585420441</v>
      </c>
      <c r="BH222" s="273">
        <v>0</v>
      </c>
      <c r="BI222" s="273">
        <v>0</v>
      </c>
      <c r="BJ222" s="273">
        <v>0</v>
      </c>
      <c r="BK222" s="273">
        <v>1193743.076501602</v>
      </c>
      <c r="BL222" s="273">
        <v>5857.81</v>
      </c>
    </row>
    <row r="223" spans="6:64" s="273" customFormat="1" ht="12.75">
      <c r="F223" s="273">
        <v>483</v>
      </c>
      <c r="G223" s="273" t="s">
        <v>159</v>
      </c>
      <c r="H223" s="273">
        <v>120</v>
      </c>
      <c r="I223" s="273">
        <v>22</v>
      </c>
      <c r="J223" s="273">
        <v>113</v>
      </c>
      <c r="K223" s="273">
        <v>54</v>
      </c>
      <c r="L223" s="273">
        <v>857</v>
      </c>
      <c r="M223" s="273">
        <v>101</v>
      </c>
      <c r="N223" s="273">
        <v>86</v>
      </c>
      <c r="O223" s="273">
        <v>35</v>
      </c>
      <c r="P223" s="273">
        <v>1199</v>
      </c>
      <c r="Q223" s="273">
        <v>0</v>
      </c>
      <c r="R223" s="273">
        <v>1</v>
      </c>
      <c r="S223" s="273">
        <v>229.83</v>
      </c>
      <c r="T223" s="273">
        <v>5.216899447417656</v>
      </c>
      <c r="U223" s="273">
        <v>0</v>
      </c>
      <c r="V223" s="273">
        <v>0</v>
      </c>
      <c r="W223" s="273">
        <v>398</v>
      </c>
      <c r="X223" s="273">
        <v>97</v>
      </c>
      <c r="Y223" s="273">
        <v>3</v>
      </c>
      <c r="Z223" s="273">
        <v>0.7865982914025995</v>
      </c>
      <c r="AA223" s="273">
        <v>0</v>
      </c>
      <c r="AB223" s="273">
        <v>2</v>
      </c>
      <c r="AC223" s="273">
        <v>1.0791479353404576</v>
      </c>
      <c r="AD223" s="273">
        <v>93</v>
      </c>
      <c r="AE223" s="273">
        <v>14</v>
      </c>
      <c r="AF223" s="273">
        <v>2</v>
      </c>
      <c r="AG223" s="273">
        <v>0</v>
      </c>
      <c r="AH223" s="273">
        <v>109</v>
      </c>
      <c r="AI223" s="273">
        <v>1.8075686983107893</v>
      </c>
      <c r="AJ223" s="273">
        <v>474</v>
      </c>
      <c r="AK223" s="273">
        <v>50</v>
      </c>
      <c r="AL223" s="273">
        <v>1.1160610795297718</v>
      </c>
      <c r="AM223" s="273">
        <v>1.33711455393425</v>
      </c>
      <c r="AN223" s="273">
        <v>0</v>
      </c>
      <c r="AO223" s="273">
        <v>0</v>
      </c>
      <c r="AP223" s="273">
        <f t="shared" si="2"/>
        <v>0</v>
      </c>
      <c r="AQ223" s="273">
        <v>-2330.2481867615134</v>
      </c>
      <c r="AR223" s="273">
        <v>1504035.95126</v>
      </c>
      <c r="AS223" s="273">
        <v>1</v>
      </c>
      <c r="AT223" s="273">
        <v>1199</v>
      </c>
      <c r="AU223" s="273">
        <v>0</v>
      </c>
      <c r="AV223" s="273">
        <v>0</v>
      </c>
      <c r="AW223" s="273">
        <v>0</v>
      </c>
      <c r="AX223" s="273">
        <v>0</v>
      </c>
      <c r="AY223" s="273">
        <v>229.83</v>
      </c>
      <c r="AZ223" s="273">
        <v>5.216899447417656</v>
      </c>
      <c r="BA223" s="273">
        <v>448</v>
      </c>
      <c r="BB223" s="273">
        <v>0.37364470391993326</v>
      </c>
      <c r="BC223" s="273">
        <v>0</v>
      </c>
      <c r="BD223" s="273">
        <v>0</v>
      </c>
      <c r="BE223" s="273">
        <v>1187</v>
      </c>
      <c r="BF223" s="273">
        <v>1199</v>
      </c>
      <c r="BG223" s="273">
        <v>0.010109519797809604</v>
      </c>
      <c r="BH223" s="273">
        <v>0</v>
      </c>
      <c r="BI223" s="273">
        <v>0</v>
      </c>
      <c r="BJ223" s="273">
        <v>0</v>
      </c>
      <c r="BK223" s="273">
        <v>238985.30826186863</v>
      </c>
      <c r="BL223" s="273">
        <v>7242.31</v>
      </c>
    </row>
    <row r="224" spans="6:64" s="273" customFormat="1" ht="12.75">
      <c r="F224" s="273">
        <v>484</v>
      </c>
      <c r="G224" s="273" t="s">
        <v>160</v>
      </c>
      <c r="H224" s="273">
        <v>183</v>
      </c>
      <c r="I224" s="273">
        <v>34</v>
      </c>
      <c r="J224" s="273">
        <v>183</v>
      </c>
      <c r="K224" s="273">
        <v>100</v>
      </c>
      <c r="L224" s="273">
        <v>2155</v>
      </c>
      <c r="M224" s="273">
        <v>446</v>
      </c>
      <c r="N224" s="273">
        <v>369</v>
      </c>
      <c r="O224" s="273">
        <v>151</v>
      </c>
      <c r="P224" s="273">
        <v>3304</v>
      </c>
      <c r="Q224" s="273">
        <v>0</v>
      </c>
      <c r="R224" s="273">
        <v>2</v>
      </c>
      <c r="S224" s="273">
        <v>446.04</v>
      </c>
      <c r="T224" s="273">
        <v>7.407407407407407</v>
      </c>
      <c r="U224" s="273">
        <v>0</v>
      </c>
      <c r="V224" s="273">
        <v>0</v>
      </c>
      <c r="W224" s="273">
        <v>1141</v>
      </c>
      <c r="X224" s="273">
        <v>151</v>
      </c>
      <c r="Y224" s="273">
        <v>15</v>
      </c>
      <c r="Z224" s="273">
        <v>0.8977156120522406</v>
      </c>
      <c r="AA224" s="273">
        <v>3</v>
      </c>
      <c r="AB224" s="273">
        <v>2</v>
      </c>
      <c r="AC224" s="273">
        <v>0.39161573077276296</v>
      </c>
      <c r="AD224" s="273">
        <v>220</v>
      </c>
      <c r="AE224" s="273">
        <v>19</v>
      </c>
      <c r="AF224" s="273">
        <v>7</v>
      </c>
      <c r="AG224" s="273">
        <v>2</v>
      </c>
      <c r="AH224" s="273">
        <v>248</v>
      </c>
      <c r="AI224" s="273">
        <v>1.492447763012056</v>
      </c>
      <c r="AJ224" s="273">
        <v>1372</v>
      </c>
      <c r="AK224" s="273">
        <v>170</v>
      </c>
      <c r="AL224" s="273">
        <v>1.3109650406488194</v>
      </c>
      <c r="AM224" s="273">
        <v>1.3466121672335</v>
      </c>
      <c r="AN224" s="273">
        <v>0.05</v>
      </c>
      <c r="AO224" s="273">
        <v>0</v>
      </c>
      <c r="AP224" s="273">
        <f t="shared" si="2"/>
        <v>0.05</v>
      </c>
      <c r="AQ224" s="273">
        <v>74367.37922729924</v>
      </c>
      <c r="AR224" s="273">
        <v>2591841.9608769226</v>
      </c>
      <c r="AS224" s="273">
        <v>1</v>
      </c>
      <c r="AT224" s="273">
        <v>3304</v>
      </c>
      <c r="AU224" s="273">
        <v>0</v>
      </c>
      <c r="AV224" s="273">
        <v>0</v>
      </c>
      <c r="AW224" s="273">
        <v>0</v>
      </c>
      <c r="AX224" s="273">
        <v>0.5797333333333333</v>
      </c>
      <c r="AY224" s="273">
        <v>446.04</v>
      </c>
      <c r="AZ224" s="273">
        <v>7.407407407407407</v>
      </c>
      <c r="BA224" s="273">
        <v>1858</v>
      </c>
      <c r="BB224" s="273">
        <v>0.5623486682808717</v>
      </c>
      <c r="BC224" s="273">
        <v>0</v>
      </c>
      <c r="BD224" s="273">
        <v>0</v>
      </c>
      <c r="BE224" s="273">
        <v>3437</v>
      </c>
      <c r="BF224" s="273">
        <v>3304</v>
      </c>
      <c r="BG224" s="273">
        <v>-0.038696537678207736</v>
      </c>
      <c r="BH224" s="273">
        <v>0</v>
      </c>
      <c r="BI224" s="273">
        <v>0</v>
      </c>
      <c r="BJ224" s="273">
        <v>0</v>
      </c>
      <c r="BK224" s="273">
        <v>775533.0831476627</v>
      </c>
      <c r="BL224" s="273">
        <v>6998.93</v>
      </c>
    </row>
    <row r="225" spans="6:64" s="273" customFormat="1" ht="12.75">
      <c r="F225" s="273">
        <v>489</v>
      </c>
      <c r="G225" s="273" t="s">
        <v>161</v>
      </c>
      <c r="H225" s="273">
        <v>103</v>
      </c>
      <c r="I225" s="273">
        <v>15</v>
      </c>
      <c r="J225" s="273">
        <v>121</v>
      </c>
      <c r="K225" s="273">
        <v>76</v>
      </c>
      <c r="L225" s="273">
        <v>1425</v>
      </c>
      <c r="M225" s="273">
        <v>304</v>
      </c>
      <c r="N225" s="273">
        <v>241</v>
      </c>
      <c r="O225" s="273">
        <v>96</v>
      </c>
      <c r="P225" s="273">
        <v>2169</v>
      </c>
      <c r="Q225" s="273">
        <v>0</v>
      </c>
      <c r="R225" s="273">
        <v>8</v>
      </c>
      <c r="S225" s="273">
        <v>422.22</v>
      </c>
      <c r="T225" s="273">
        <v>5.137132300696319</v>
      </c>
      <c r="U225" s="273">
        <v>0</v>
      </c>
      <c r="V225" s="273">
        <v>0</v>
      </c>
      <c r="W225" s="273">
        <v>767</v>
      </c>
      <c r="X225" s="273">
        <v>175</v>
      </c>
      <c r="Y225" s="273">
        <v>5</v>
      </c>
      <c r="Z225" s="273">
        <v>0.8040120246546892</v>
      </c>
      <c r="AA225" s="273">
        <v>2</v>
      </c>
      <c r="AB225" s="273">
        <v>2</v>
      </c>
      <c r="AC225" s="273">
        <v>0.5965414359028164</v>
      </c>
      <c r="AD225" s="273">
        <v>157</v>
      </c>
      <c r="AE225" s="273">
        <v>7</v>
      </c>
      <c r="AF225" s="273">
        <v>2</v>
      </c>
      <c r="AG225" s="273">
        <v>4</v>
      </c>
      <c r="AH225" s="273">
        <v>170</v>
      </c>
      <c r="AI225" s="273">
        <v>1.5583925614758762</v>
      </c>
      <c r="AJ225" s="273">
        <v>890</v>
      </c>
      <c r="AK225" s="273">
        <v>72</v>
      </c>
      <c r="AL225" s="273">
        <v>0.8559310679144281</v>
      </c>
      <c r="AM225" s="273">
        <v>1.64980823495761</v>
      </c>
      <c r="AN225" s="273">
        <v>0</v>
      </c>
      <c r="AO225" s="273">
        <v>0</v>
      </c>
      <c r="AP225" s="273">
        <f t="shared" si="2"/>
        <v>0</v>
      </c>
      <c r="AQ225" s="273">
        <v>129195.3782286048</v>
      </c>
      <c r="AR225" s="273">
        <v>1748993.0141230768</v>
      </c>
      <c r="AS225" s="273">
        <v>1</v>
      </c>
      <c r="AT225" s="273">
        <v>2169</v>
      </c>
      <c r="AU225" s="273">
        <v>0</v>
      </c>
      <c r="AV225" s="273">
        <v>0</v>
      </c>
      <c r="AW225" s="273">
        <v>0</v>
      </c>
      <c r="AX225" s="273">
        <v>0.4368666666666667</v>
      </c>
      <c r="AY225" s="273">
        <v>422.22</v>
      </c>
      <c r="AZ225" s="273">
        <v>5.137132300696319</v>
      </c>
      <c r="BA225" s="273">
        <v>627</v>
      </c>
      <c r="BB225" s="273">
        <v>0.28907330567081607</v>
      </c>
      <c r="BC225" s="273">
        <v>0</v>
      </c>
      <c r="BD225" s="273">
        <v>0</v>
      </c>
      <c r="BE225" s="273">
        <v>2297</v>
      </c>
      <c r="BF225" s="273">
        <v>2169</v>
      </c>
      <c r="BG225" s="273">
        <v>-0.055724858511101434</v>
      </c>
      <c r="BH225" s="273">
        <v>0</v>
      </c>
      <c r="BI225" s="273">
        <v>0</v>
      </c>
      <c r="BJ225" s="273">
        <v>0</v>
      </c>
      <c r="BK225" s="273">
        <v>468166.23244597716</v>
      </c>
      <c r="BL225" s="273">
        <v>7279.53</v>
      </c>
    </row>
    <row r="226" spans="6:64" s="273" customFormat="1" ht="12.75">
      <c r="F226" s="273">
        <v>491</v>
      </c>
      <c r="G226" s="273" t="s">
        <v>162</v>
      </c>
      <c r="H226" s="273">
        <v>3660</v>
      </c>
      <c r="I226" s="273">
        <v>519</v>
      </c>
      <c r="J226" s="273">
        <v>3317</v>
      </c>
      <c r="K226" s="273">
        <v>1796</v>
      </c>
      <c r="L226" s="273">
        <v>39533</v>
      </c>
      <c r="M226" s="273">
        <v>6191</v>
      </c>
      <c r="N226" s="273">
        <v>3845</v>
      </c>
      <c r="O226" s="273">
        <v>1301</v>
      </c>
      <c r="P226" s="273">
        <v>54530</v>
      </c>
      <c r="Q226" s="273">
        <v>10</v>
      </c>
      <c r="R226" s="273">
        <v>176</v>
      </c>
      <c r="S226" s="273">
        <v>2549.55</v>
      </c>
      <c r="T226" s="273">
        <v>21.388088093977366</v>
      </c>
      <c r="U226" s="273">
        <v>1</v>
      </c>
      <c r="V226" s="273">
        <v>0</v>
      </c>
      <c r="W226" s="273">
        <v>22437</v>
      </c>
      <c r="X226" s="273">
        <v>962</v>
      </c>
      <c r="Y226" s="273">
        <v>244</v>
      </c>
      <c r="Z226" s="273">
        <v>0.994089459922219</v>
      </c>
      <c r="AA226" s="273">
        <v>63</v>
      </c>
      <c r="AB226" s="273">
        <v>63</v>
      </c>
      <c r="AC226" s="273">
        <v>0.7474380853824699</v>
      </c>
      <c r="AD226" s="273">
        <v>2799</v>
      </c>
      <c r="AE226" s="273">
        <v>306</v>
      </c>
      <c r="AF226" s="273">
        <v>110</v>
      </c>
      <c r="AG226" s="273">
        <v>24</v>
      </c>
      <c r="AH226" s="273">
        <v>3239</v>
      </c>
      <c r="AI226" s="273">
        <v>1.1810354878436662</v>
      </c>
      <c r="AJ226" s="273">
        <v>25452</v>
      </c>
      <c r="AK226" s="273">
        <v>2616</v>
      </c>
      <c r="AL226" s="273">
        <v>1.0874570812821347</v>
      </c>
      <c r="AM226" s="273">
        <v>1.245724263484629</v>
      </c>
      <c r="AN226" s="273">
        <v>0</v>
      </c>
      <c r="AO226" s="273">
        <v>0</v>
      </c>
      <c r="AP226" s="273">
        <f t="shared" si="2"/>
        <v>0</v>
      </c>
      <c r="AQ226" s="273">
        <v>23894.41926728841</v>
      </c>
      <c r="AR226" s="273">
        <v>8139887.3364269445</v>
      </c>
      <c r="AS226" s="273">
        <v>1</v>
      </c>
      <c r="AT226" s="273">
        <v>54530</v>
      </c>
      <c r="AU226" s="273">
        <v>1</v>
      </c>
      <c r="AV226" s="273">
        <v>226</v>
      </c>
      <c r="AW226" s="273">
        <v>0.004144507610489638</v>
      </c>
      <c r="AX226" s="273">
        <v>0</v>
      </c>
      <c r="AY226" s="273">
        <v>2549.55</v>
      </c>
      <c r="AZ226" s="273">
        <v>21.388088093977366</v>
      </c>
      <c r="BA226" s="273">
        <v>42886</v>
      </c>
      <c r="BB226" s="273">
        <v>0.7864661654135339</v>
      </c>
      <c r="BC226" s="273">
        <v>0</v>
      </c>
      <c r="BD226" s="273">
        <v>0</v>
      </c>
      <c r="BE226" s="273">
        <v>54440</v>
      </c>
      <c r="BF226" s="273">
        <v>54530</v>
      </c>
      <c r="BG226" s="273">
        <v>0.0016531961792799412</v>
      </c>
      <c r="BH226" s="273">
        <v>0</v>
      </c>
      <c r="BI226" s="273">
        <v>2</v>
      </c>
      <c r="BJ226" s="273">
        <v>3.667705849990831E-05</v>
      </c>
      <c r="BK226" s="273">
        <v>9573771.185028592</v>
      </c>
      <c r="BL226" s="273">
        <v>6317.71</v>
      </c>
    </row>
    <row r="227" spans="6:64" s="273" customFormat="1" ht="12.75">
      <c r="F227" s="273">
        <v>494</v>
      </c>
      <c r="G227" s="273" t="s">
        <v>163</v>
      </c>
      <c r="H227" s="273">
        <v>1073</v>
      </c>
      <c r="I227" s="273">
        <v>160</v>
      </c>
      <c r="J227" s="273">
        <v>912</v>
      </c>
      <c r="K227" s="273">
        <v>407</v>
      </c>
      <c r="L227" s="273">
        <v>6558</v>
      </c>
      <c r="M227" s="273">
        <v>646</v>
      </c>
      <c r="N227" s="273">
        <v>483</v>
      </c>
      <c r="O227" s="273">
        <v>149</v>
      </c>
      <c r="P227" s="273">
        <v>8909</v>
      </c>
      <c r="Q227" s="273">
        <v>2</v>
      </c>
      <c r="R227" s="273">
        <v>8</v>
      </c>
      <c r="S227" s="273">
        <v>783.72</v>
      </c>
      <c r="T227" s="273">
        <v>11.367580258255499</v>
      </c>
      <c r="U227" s="273">
        <v>0</v>
      </c>
      <c r="V227" s="273">
        <v>0</v>
      </c>
      <c r="W227" s="273">
        <v>3341</v>
      </c>
      <c r="X227" s="273">
        <v>225</v>
      </c>
      <c r="Y227" s="273">
        <v>46</v>
      </c>
      <c r="Z227" s="273">
        <v>0.9653431218933167</v>
      </c>
      <c r="AA227" s="273">
        <v>7</v>
      </c>
      <c r="AB227" s="273">
        <v>7</v>
      </c>
      <c r="AC227" s="273">
        <v>0.5083224055063679</v>
      </c>
      <c r="AD227" s="273">
        <v>471</v>
      </c>
      <c r="AE227" s="273">
        <v>69</v>
      </c>
      <c r="AF227" s="273">
        <v>21</v>
      </c>
      <c r="AG227" s="273">
        <v>3</v>
      </c>
      <c r="AH227" s="273">
        <v>564</v>
      </c>
      <c r="AI227" s="273">
        <v>1.2587446631855579</v>
      </c>
      <c r="AJ227" s="273">
        <v>3778</v>
      </c>
      <c r="AK227" s="273">
        <v>351</v>
      </c>
      <c r="AL227" s="273">
        <v>0.9829727159644587</v>
      </c>
      <c r="AM227" s="273">
        <v>1.45200457842319</v>
      </c>
      <c r="AN227" s="273">
        <v>0</v>
      </c>
      <c r="AO227" s="273">
        <v>0</v>
      </c>
      <c r="AP227" s="273">
        <f t="shared" si="2"/>
        <v>0</v>
      </c>
      <c r="AQ227" s="273">
        <v>-106345.7427293472</v>
      </c>
      <c r="AR227" s="273">
        <v>4887865.800080001</v>
      </c>
      <c r="AS227" s="273">
        <v>1</v>
      </c>
      <c r="AT227" s="273">
        <v>8909</v>
      </c>
      <c r="AU227" s="273">
        <v>0</v>
      </c>
      <c r="AV227" s="273">
        <v>0</v>
      </c>
      <c r="AW227" s="273">
        <v>0</v>
      </c>
      <c r="AX227" s="273">
        <v>0</v>
      </c>
      <c r="AY227" s="273">
        <v>783.72</v>
      </c>
      <c r="AZ227" s="273">
        <v>11.367580258255499</v>
      </c>
      <c r="BA227" s="273">
        <v>6848</v>
      </c>
      <c r="BB227" s="273">
        <v>0.7686609047031092</v>
      </c>
      <c r="BC227" s="273">
        <v>0</v>
      </c>
      <c r="BD227" s="273">
        <v>0</v>
      </c>
      <c r="BE227" s="273">
        <v>8751</v>
      </c>
      <c r="BF227" s="273">
        <v>8909</v>
      </c>
      <c r="BG227" s="273">
        <v>0.018055079419494916</v>
      </c>
      <c r="BH227" s="273">
        <v>0</v>
      </c>
      <c r="BI227" s="273">
        <v>0</v>
      </c>
      <c r="BJ227" s="273">
        <v>0</v>
      </c>
      <c r="BK227" s="273">
        <v>1154491.61402006</v>
      </c>
      <c r="BL227" s="273">
        <v>6713.24</v>
      </c>
    </row>
    <row r="228" spans="6:64" s="273" customFormat="1" ht="12.75">
      <c r="F228" s="273">
        <v>495</v>
      </c>
      <c r="G228" s="273" t="s">
        <v>164</v>
      </c>
      <c r="H228" s="273">
        <v>123</v>
      </c>
      <c r="I228" s="273">
        <v>19</v>
      </c>
      <c r="J228" s="273">
        <v>107</v>
      </c>
      <c r="K228" s="273">
        <v>69</v>
      </c>
      <c r="L228" s="273">
        <v>1171</v>
      </c>
      <c r="M228" s="273">
        <v>211</v>
      </c>
      <c r="N228" s="273">
        <v>244</v>
      </c>
      <c r="O228" s="273">
        <v>98</v>
      </c>
      <c r="P228" s="273">
        <v>1847</v>
      </c>
      <c r="Q228" s="273">
        <v>0</v>
      </c>
      <c r="R228" s="273">
        <v>0</v>
      </c>
      <c r="S228" s="273">
        <v>733.25</v>
      </c>
      <c r="T228" s="273">
        <v>2.5189226048414595</v>
      </c>
      <c r="U228" s="273">
        <v>0</v>
      </c>
      <c r="V228" s="273">
        <v>0</v>
      </c>
      <c r="W228" s="273">
        <v>626</v>
      </c>
      <c r="X228" s="273">
        <v>102</v>
      </c>
      <c r="Y228" s="273">
        <v>7</v>
      </c>
      <c r="Z228" s="273">
        <v>0.8676329096465644</v>
      </c>
      <c r="AA228" s="273">
        <v>2</v>
      </c>
      <c r="AB228" s="273">
        <v>2</v>
      </c>
      <c r="AC228" s="273">
        <v>0.7005405384262094</v>
      </c>
      <c r="AD228" s="273">
        <v>148</v>
      </c>
      <c r="AE228" s="273">
        <v>7</v>
      </c>
      <c r="AF228" s="273">
        <v>1</v>
      </c>
      <c r="AG228" s="273">
        <v>0</v>
      </c>
      <c r="AH228" s="273">
        <v>156</v>
      </c>
      <c r="AI228" s="273">
        <v>1.6793653959400727</v>
      </c>
      <c r="AJ228" s="273">
        <v>730</v>
      </c>
      <c r="AK228" s="273">
        <v>88</v>
      </c>
      <c r="AL228" s="273">
        <v>1.2754284862834477</v>
      </c>
      <c r="AM228" s="273">
        <v>1.20569435009642</v>
      </c>
      <c r="AN228" s="273">
        <v>0</v>
      </c>
      <c r="AO228" s="273">
        <v>0</v>
      </c>
      <c r="AP228" s="273">
        <f t="shared" si="2"/>
        <v>0</v>
      </c>
      <c r="AQ228" s="273">
        <v>30935.09080532845</v>
      </c>
      <c r="AR228" s="273">
        <v>1277923.9456911392</v>
      </c>
      <c r="AS228" s="273">
        <v>0</v>
      </c>
      <c r="AT228" s="273">
        <v>1847</v>
      </c>
      <c r="AU228" s="273">
        <v>0</v>
      </c>
      <c r="AV228" s="273">
        <v>0</v>
      </c>
      <c r="AW228" s="273">
        <v>0</v>
      </c>
      <c r="AX228" s="273">
        <v>0.143</v>
      </c>
      <c r="AY228" s="273">
        <v>733.25</v>
      </c>
      <c r="AZ228" s="273">
        <v>2.5189226048414595</v>
      </c>
      <c r="BA228" s="273">
        <v>849</v>
      </c>
      <c r="BB228" s="273">
        <v>0.45966432051976175</v>
      </c>
      <c r="BC228" s="273">
        <v>0</v>
      </c>
      <c r="BD228" s="273">
        <v>0</v>
      </c>
      <c r="BE228" s="273">
        <v>1953</v>
      </c>
      <c r="BF228" s="273">
        <v>1847</v>
      </c>
      <c r="BG228" s="273">
        <v>-0.05427547363031234</v>
      </c>
      <c r="BH228" s="273">
        <v>0</v>
      </c>
      <c r="BI228" s="273">
        <v>0</v>
      </c>
      <c r="BJ228" s="273">
        <v>0</v>
      </c>
      <c r="BK228" s="273">
        <v>448340.31367853034</v>
      </c>
      <c r="BL228" s="273">
        <v>8018.97</v>
      </c>
    </row>
    <row r="229" spans="6:64" s="273" customFormat="1" ht="12.75">
      <c r="F229" s="273">
        <v>498</v>
      </c>
      <c r="G229" s="273" t="s">
        <v>165</v>
      </c>
      <c r="H229" s="273">
        <v>178</v>
      </c>
      <c r="I229" s="273">
        <v>27</v>
      </c>
      <c r="J229" s="273">
        <v>136</v>
      </c>
      <c r="K229" s="273">
        <v>81</v>
      </c>
      <c r="L229" s="273">
        <v>1690</v>
      </c>
      <c r="M229" s="273">
        <v>306</v>
      </c>
      <c r="N229" s="273">
        <v>145</v>
      </c>
      <c r="O229" s="273">
        <v>50</v>
      </c>
      <c r="P229" s="273">
        <v>2369</v>
      </c>
      <c r="Q229" s="273">
        <v>3</v>
      </c>
      <c r="R229" s="273">
        <v>5</v>
      </c>
      <c r="S229" s="273">
        <v>1904.3</v>
      </c>
      <c r="T229" s="273">
        <v>1.2440266764690437</v>
      </c>
      <c r="U229" s="273">
        <v>0</v>
      </c>
      <c r="V229" s="273">
        <v>0</v>
      </c>
      <c r="W229" s="273">
        <v>990</v>
      </c>
      <c r="X229" s="273">
        <v>41</v>
      </c>
      <c r="Y229" s="273">
        <v>21</v>
      </c>
      <c r="Z229" s="273">
        <v>0.9847649628493041</v>
      </c>
      <c r="AA229" s="273">
        <v>2</v>
      </c>
      <c r="AB229" s="273">
        <v>2</v>
      </c>
      <c r="AC229" s="273">
        <v>0.5461791365441996</v>
      </c>
      <c r="AD229" s="273">
        <v>117</v>
      </c>
      <c r="AE229" s="273">
        <v>15</v>
      </c>
      <c r="AF229" s="273">
        <v>5</v>
      </c>
      <c r="AG229" s="273">
        <v>3</v>
      </c>
      <c r="AH229" s="273">
        <v>140</v>
      </c>
      <c r="AI229" s="273">
        <v>1.1750341052759035</v>
      </c>
      <c r="AJ229" s="273">
        <v>1106</v>
      </c>
      <c r="AK229" s="273">
        <v>159</v>
      </c>
      <c r="AL229" s="273">
        <v>1.5210318141020034</v>
      </c>
      <c r="AM229" s="273">
        <v>0.800168027018631</v>
      </c>
      <c r="AN229" s="273">
        <v>0.17</v>
      </c>
      <c r="AO229" s="273">
        <v>0</v>
      </c>
      <c r="AP229" s="273">
        <f t="shared" si="2"/>
        <v>0.17</v>
      </c>
      <c r="AQ229" s="273">
        <v>250073.0429299483</v>
      </c>
      <c r="AR229" s="273">
        <v>893126.8435365849</v>
      </c>
      <c r="AS229" s="273">
        <v>0</v>
      </c>
      <c r="AT229" s="273">
        <v>2369</v>
      </c>
      <c r="AU229" s="273">
        <v>0</v>
      </c>
      <c r="AV229" s="273">
        <v>0</v>
      </c>
      <c r="AW229" s="273">
        <v>0</v>
      </c>
      <c r="AX229" s="273">
        <v>1.7632833333333333</v>
      </c>
      <c r="AY229" s="273">
        <v>1904.3</v>
      </c>
      <c r="AZ229" s="273">
        <v>1.2440266764690437</v>
      </c>
      <c r="BA229" s="273">
        <v>1164</v>
      </c>
      <c r="BB229" s="273">
        <v>0.4913465597298438</v>
      </c>
      <c r="BC229" s="273">
        <v>0</v>
      </c>
      <c r="BD229" s="273">
        <v>0</v>
      </c>
      <c r="BE229" s="273">
        <v>2360</v>
      </c>
      <c r="BF229" s="273">
        <v>2369</v>
      </c>
      <c r="BG229" s="273">
        <v>0.0038135593220338985</v>
      </c>
      <c r="BH229" s="273">
        <v>0</v>
      </c>
      <c r="BI229" s="273">
        <v>5</v>
      </c>
      <c r="BJ229" s="273">
        <v>0.002110595187842972</v>
      </c>
      <c r="BK229" s="273">
        <v>476127.55674385215</v>
      </c>
      <c r="BL229" s="273">
        <v>8622.22</v>
      </c>
    </row>
    <row r="230" spans="6:64" s="273" customFormat="1" ht="12.75">
      <c r="F230" s="273">
        <v>499</v>
      </c>
      <c r="G230" s="273" t="s">
        <v>166</v>
      </c>
      <c r="H230" s="273">
        <v>1821</v>
      </c>
      <c r="I230" s="273">
        <v>259</v>
      </c>
      <c r="J230" s="273">
        <v>1404</v>
      </c>
      <c r="K230" s="273">
        <v>688</v>
      </c>
      <c r="L230" s="273">
        <v>13617</v>
      </c>
      <c r="M230" s="273">
        <v>1836</v>
      </c>
      <c r="N230" s="273">
        <v>1091</v>
      </c>
      <c r="O230" s="273">
        <v>503</v>
      </c>
      <c r="P230" s="273">
        <v>18868</v>
      </c>
      <c r="Q230" s="273">
        <v>1630</v>
      </c>
      <c r="R230" s="273">
        <v>31</v>
      </c>
      <c r="S230" s="273">
        <v>848.14</v>
      </c>
      <c r="T230" s="273">
        <v>22.246327257292428</v>
      </c>
      <c r="U230" s="273">
        <v>1</v>
      </c>
      <c r="V230" s="273">
        <v>3</v>
      </c>
      <c r="W230" s="273">
        <v>8775</v>
      </c>
      <c r="X230" s="273">
        <v>382</v>
      </c>
      <c r="Y230" s="273">
        <v>75</v>
      </c>
      <c r="Z230" s="273">
        <v>0.9958446570599649</v>
      </c>
      <c r="AA230" s="273">
        <v>2</v>
      </c>
      <c r="AB230" s="273">
        <v>2</v>
      </c>
      <c r="AC230" s="273">
        <v>0.0685763395417219</v>
      </c>
      <c r="AD230" s="273">
        <v>644</v>
      </c>
      <c r="AE230" s="273">
        <v>112</v>
      </c>
      <c r="AF230" s="273">
        <v>43</v>
      </c>
      <c r="AG230" s="273">
        <v>4</v>
      </c>
      <c r="AH230" s="273">
        <v>803</v>
      </c>
      <c r="AI230" s="273">
        <v>0.8462080937131229</v>
      </c>
      <c r="AJ230" s="273">
        <v>9257</v>
      </c>
      <c r="AK230" s="273">
        <v>327</v>
      </c>
      <c r="AL230" s="273">
        <v>0.3737436214863467</v>
      </c>
      <c r="AM230" s="273">
        <v>0.621310285844691</v>
      </c>
      <c r="AN230" s="273">
        <v>0</v>
      </c>
      <c r="AO230" s="273">
        <v>0</v>
      </c>
      <c r="AP230" s="273">
        <f t="shared" si="2"/>
        <v>0</v>
      </c>
      <c r="AQ230" s="273">
        <v>184900.8623964414</v>
      </c>
      <c r="AR230" s="273">
        <v>-1126079.7121170673</v>
      </c>
      <c r="AS230" s="273">
        <v>1</v>
      </c>
      <c r="AT230" s="273">
        <v>18868</v>
      </c>
      <c r="AU230" s="273">
        <v>1</v>
      </c>
      <c r="AV230" s="273">
        <v>2201</v>
      </c>
      <c r="AW230" s="273">
        <v>0.11665253338986645</v>
      </c>
      <c r="AX230" s="273">
        <v>0</v>
      </c>
      <c r="AY230" s="273">
        <v>848.14</v>
      </c>
      <c r="AZ230" s="273">
        <v>22.246327257292428</v>
      </c>
      <c r="BA230" s="273">
        <v>14586</v>
      </c>
      <c r="BB230" s="273">
        <v>0.7730549077803689</v>
      </c>
      <c r="BC230" s="273">
        <v>3</v>
      </c>
      <c r="BD230" s="273">
        <v>0</v>
      </c>
      <c r="BE230" s="273">
        <v>18112</v>
      </c>
      <c r="BF230" s="273">
        <v>18868</v>
      </c>
      <c r="BG230" s="273">
        <v>0.041740282685512366</v>
      </c>
      <c r="BH230" s="273">
        <v>0</v>
      </c>
      <c r="BI230" s="273">
        <v>1</v>
      </c>
      <c r="BJ230" s="273">
        <v>5.2999788000847996E-05</v>
      </c>
      <c r="BK230" s="273">
        <v>2621909.0924982782</v>
      </c>
      <c r="BL230" s="273">
        <v>7102.78</v>
      </c>
    </row>
    <row r="231" spans="6:64" s="273" customFormat="1" ht="12.75">
      <c r="F231" s="273">
        <v>500</v>
      </c>
      <c r="G231" s="273" t="s">
        <v>167</v>
      </c>
      <c r="H231" s="273">
        <v>991</v>
      </c>
      <c r="I231" s="273">
        <v>149</v>
      </c>
      <c r="J231" s="273">
        <v>877</v>
      </c>
      <c r="K231" s="273">
        <v>434</v>
      </c>
      <c r="L231" s="273">
        <v>7234</v>
      </c>
      <c r="M231" s="273">
        <v>764</v>
      </c>
      <c r="N231" s="273">
        <v>349</v>
      </c>
      <c r="O231" s="273">
        <v>100</v>
      </c>
      <c r="P231" s="273">
        <v>9438</v>
      </c>
      <c r="Q231" s="273">
        <v>0</v>
      </c>
      <c r="R231" s="273">
        <v>11</v>
      </c>
      <c r="S231" s="273">
        <v>144.06</v>
      </c>
      <c r="T231" s="273">
        <v>65.51436901291129</v>
      </c>
      <c r="U231" s="273">
        <v>0</v>
      </c>
      <c r="V231" s="273">
        <v>0</v>
      </c>
      <c r="W231" s="273">
        <v>3980</v>
      </c>
      <c r="X231" s="273">
        <v>65</v>
      </c>
      <c r="Y231" s="273">
        <v>38</v>
      </c>
      <c r="Z231" s="273">
        <v>1.0233696562979457</v>
      </c>
      <c r="AA231" s="273">
        <v>13</v>
      </c>
      <c r="AB231" s="273">
        <v>13</v>
      </c>
      <c r="AC231" s="273">
        <v>0.8911145829705296</v>
      </c>
      <c r="AD231" s="273">
        <v>238</v>
      </c>
      <c r="AE231" s="273">
        <v>74</v>
      </c>
      <c r="AF231" s="273">
        <v>26</v>
      </c>
      <c r="AG231" s="273">
        <v>0</v>
      </c>
      <c r="AH231" s="273">
        <v>338</v>
      </c>
      <c r="AI231" s="273">
        <v>0.7120725175163716</v>
      </c>
      <c r="AJ231" s="273">
        <v>4501</v>
      </c>
      <c r="AK231" s="273">
        <v>383</v>
      </c>
      <c r="AL231" s="273">
        <v>0.9002975361030608</v>
      </c>
      <c r="AM231" s="273">
        <v>0.679416225190969</v>
      </c>
      <c r="AN231" s="273">
        <v>0</v>
      </c>
      <c r="AO231" s="273">
        <v>0</v>
      </c>
      <c r="AP231" s="273">
        <f t="shared" si="2"/>
        <v>0</v>
      </c>
      <c r="AQ231" s="273">
        <v>-63532.664028301835</v>
      </c>
      <c r="AR231" s="273">
        <v>-632942.7797521541</v>
      </c>
      <c r="AS231" s="273">
        <v>1</v>
      </c>
      <c r="AT231" s="273">
        <v>9438</v>
      </c>
      <c r="AU231" s="273">
        <v>0</v>
      </c>
      <c r="AV231" s="273">
        <v>0</v>
      </c>
      <c r="AW231" s="273">
        <v>0</v>
      </c>
      <c r="AX231" s="273">
        <v>0</v>
      </c>
      <c r="AY231" s="273">
        <v>144.06</v>
      </c>
      <c r="AZ231" s="273">
        <v>65.51436901291129</v>
      </c>
      <c r="BA231" s="273">
        <v>8112</v>
      </c>
      <c r="BB231" s="273">
        <v>0.859504132231405</v>
      </c>
      <c r="BC231" s="273">
        <v>0</v>
      </c>
      <c r="BD231" s="273">
        <v>0</v>
      </c>
      <c r="BE231" s="273">
        <v>9178</v>
      </c>
      <c r="BF231" s="273">
        <v>9438</v>
      </c>
      <c r="BG231" s="273">
        <v>0.028328611898016998</v>
      </c>
      <c r="BH231" s="273">
        <v>0</v>
      </c>
      <c r="BI231" s="273">
        <v>1</v>
      </c>
      <c r="BJ231" s="273">
        <v>0.00010595465140919687</v>
      </c>
      <c r="BK231" s="273">
        <v>1238530.3015988474</v>
      </c>
      <c r="BL231" s="273">
        <v>5856.91</v>
      </c>
    </row>
    <row r="232" spans="6:64" s="273" customFormat="1" ht="12.75">
      <c r="F232" s="273">
        <v>503</v>
      </c>
      <c r="G232" s="273" t="s">
        <v>168</v>
      </c>
      <c r="H232" s="273">
        <v>566</v>
      </c>
      <c r="I232" s="273">
        <v>92</v>
      </c>
      <c r="J232" s="273">
        <v>569</v>
      </c>
      <c r="K232" s="273">
        <v>331</v>
      </c>
      <c r="L232" s="273">
        <v>5809</v>
      </c>
      <c r="M232" s="273">
        <v>857</v>
      </c>
      <c r="N232" s="273">
        <v>570</v>
      </c>
      <c r="O232" s="273">
        <v>242</v>
      </c>
      <c r="P232" s="273">
        <v>8044</v>
      </c>
      <c r="Q232" s="273">
        <v>11</v>
      </c>
      <c r="R232" s="273">
        <v>15</v>
      </c>
      <c r="S232" s="273">
        <v>519.72</v>
      </c>
      <c r="T232" s="273">
        <v>15.477564842607556</v>
      </c>
      <c r="U232" s="273">
        <v>0</v>
      </c>
      <c r="V232" s="273">
        <v>0</v>
      </c>
      <c r="W232" s="273">
        <v>3479</v>
      </c>
      <c r="X232" s="273">
        <v>353</v>
      </c>
      <c r="Y232" s="273">
        <v>33</v>
      </c>
      <c r="Z232" s="273">
        <v>0.9339966058022918</v>
      </c>
      <c r="AA232" s="273">
        <v>6</v>
      </c>
      <c r="AB232" s="273">
        <v>6</v>
      </c>
      <c r="AC232" s="273">
        <v>0.48255782240423006</v>
      </c>
      <c r="AD232" s="273">
        <v>389</v>
      </c>
      <c r="AE232" s="273">
        <v>63</v>
      </c>
      <c r="AF232" s="273">
        <v>17</v>
      </c>
      <c r="AG232" s="273">
        <v>9</v>
      </c>
      <c r="AH232" s="273">
        <v>478</v>
      </c>
      <c r="AI232" s="273">
        <v>1.1815261332319904</v>
      </c>
      <c r="AJ232" s="273">
        <v>3797</v>
      </c>
      <c r="AK232" s="273">
        <v>266</v>
      </c>
      <c r="AL232" s="273">
        <v>0.7412032928703279</v>
      </c>
      <c r="AM232" s="273">
        <v>0.94946088088834</v>
      </c>
      <c r="AN232" s="273">
        <v>0</v>
      </c>
      <c r="AO232" s="273">
        <v>0</v>
      </c>
      <c r="AP232" s="273">
        <f t="shared" si="2"/>
        <v>0</v>
      </c>
      <c r="AQ232" s="273">
        <v>16050.776211857796</v>
      </c>
      <c r="AR232" s="273">
        <v>3289559.345947362</v>
      </c>
      <c r="AS232" s="273">
        <v>1</v>
      </c>
      <c r="AT232" s="273">
        <v>8044</v>
      </c>
      <c r="AU232" s="273">
        <v>0</v>
      </c>
      <c r="AV232" s="273">
        <v>0</v>
      </c>
      <c r="AW232" s="273">
        <v>0</v>
      </c>
      <c r="AX232" s="273">
        <v>0</v>
      </c>
      <c r="AY232" s="273">
        <v>519.72</v>
      </c>
      <c r="AZ232" s="273">
        <v>15.477564842607556</v>
      </c>
      <c r="BA232" s="273">
        <v>5156</v>
      </c>
      <c r="BB232" s="273">
        <v>0.6409746394828444</v>
      </c>
      <c r="BC232" s="273">
        <v>0</v>
      </c>
      <c r="BD232" s="273">
        <v>0</v>
      </c>
      <c r="BE232" s="273">
        <v>8026</v>
      </c>
      <c r="BF232" s="273">
        <v>8044</v>
      </c>
      <c r="BG232" s="273">
        <v>0.00224271118863693</v>
      </c>
      <c r="BH232" s="273">
        <v>0</v>
      </c>
      <c r="BI232" s="273">
        <v>0</v>
      </c>
      <c r="BJ232" s="273">
        <v>0</v>
      </c>
      <c r="BK232" s="273">
        <v>1242372.237376215</v>
      </c>
      <c r="BL232" s="273">
        <v>6521.43</v>
      </c>
    </row>
    <row r="233" spans="6:64" s="273" customFormat="1" ht="12.75">
      <c r="F233" s="273">
        <v>504</v>
      </c>
      <c r="G233" s="273" t="s">
        <v>169</v>
      </c>
      <c r="H233" s="273">
        <v>138</v>
      </c>
      <c r="I233" s="273">
        <v>22</v>
      </c>
      <c r="J233" s="273">
        <v>127</v>
      </c>
      <c r="K233" s="273">
        <v>78</v>
      </c>
      <c r="L233" s="273">
        <v>1413</v>
      </c>
      <c r="M233" s="273">
        <v>248</v>
      </c>
      <c r="N233" s="273">
        <v>145</v>
      </c>
      <c r="O233" s="273">
        <v>64</v>
      </c>
      <c r="P233" s="273">
        <v>2008</v>
      </c>
      <c r="Q233" s="273">
        <v>26</v>
      </c>
      <c r="R233" s="273">
        <v>1</v>
      </c>
      <c r="S233" s="273">
        <v>200.36</v>
      </c>
      <c r="T233" s="273">
        <v>10.021960471151926</v>
      </c>
      <c r="U233" s="273">
        <v>0</v>
      </c>
      <c r="V233" s="273">
        <v>1</v>
      </c>
      <c r="W233" s="273">
        <v>815</v>
      </c>
      <c r="X233" s="273">
        <v>115</v>
      </c>
      <c r="Y233" s="273">
        <v>14</v>
      </c>
      <c r="Z233" s="273">
        <v>0.884272896220484</v>
      </c>
      <c r="AA233" s="273">
        <v>3</v>
      </c>
      <c r="AB233" s="273">
        <v>2</v>
      </c>
      <c r="AC233" s="273">
        <v>0.6443717004348649</v>
      </c>
      <c r="AD233" s="273">
        <v>62</v>
      </c>
      <c r="AE233" s="273">
        <v>16</v>
      </c>
      <c r="AF233" s="273">
        <v>3</v>
      </c>
      <c r="AG233" s="273">
        <v>1</v>
      </c>
      <c r="AH233" s="273">
        <v>82</v>
      </c>
      <c r="AI233" s="273">
        <v>0.8119656204563406</v>
      </c>
      <c r="AJ233" s="273">
        <v>911</v>
      </c>
      <c r="AK233" s="273">
        <v>83</v>
      </c>
      <c r="AL233" s="273">
        <v>0.9639533477686121</v>
      </c>
      <c r="AM233" s="273">
        <v>0.709594565875147</v>
      </c>
      <c r="AN233" s="273">
        <v>0</v>
      </c>
      <c r="AO233" s="273">
        <v>0</v>
      </c>
      <c r="AP233" s="273">
        <f t="shared" si="2"/>
        <v>0</v>
      </c>
      <c r="AQ233" s="273">
        <v>166062.03001650702</v>
      </c>
      <c r="AR233" s="273">
        <v>1134223.8141899991</v>
      </c>
      <c r="AS233" s="273">
        <v>0</v>
      </c>
      <c r="AT233" s="273">
        <v>2008</v>
      </c>
      <c r="AU233" s="273">
        <v>0</v>
      </c>
      <c r="AV233" s="273">
        <v>0</v>
      </c>
      <c r="AW233" s="273">
        <v>0</v>
      </c>
      <c r="AX233" s="273">
        <v>0</v>
      </c>
      <c r="AY233" s="273">
        <v>200.36</v>
      </c>
      <c r="AZ233" s="273">
        <v>10.021960471151926</v>
      </c>
      <c r="BA233" s="273">
        <v>868</v>
      </c>
      <c r="BB233" s="273">
        <v>0.43227091633466136</v>
      </c>
      <c r="BC233" s="273">
        <v>1</v>
      </c>
      <c r="BD233" s="273">
        <v>0</v>
      </c>
      <c r="BE233" s="273">
        <v>2010</v>
      </c>
      <c r="BF233" s="273">
        <v>2008</v>
      </c>
      <c r="BG233" s="273">
        <v>-0.0009950248756218905</v>
      </c>
      <c r="BH233" s="273">
        <v>0</v>
      </c>
      <c r="BI233" s="273">
        <v>0</v>
      </c>
      <c r="BJ233" s="273">
        <v>0</v>
      </c>
      <c r="BK233" s="273">
        <v>400522.4068300268</v>
      </c>
      <c r="BL233" s="273">
        <v>7149.31</v>
      </c>
    </row>
    <row r="234" spans="6:64" s="273" customFormat="1" ht="12.75">
      <c r="F234" s="273">
        <v>505</v>
      </c>
      <c r="G234" s="273" t="s">
        <v>170</v>
      </c>
      <c r="H234" s="273">
        <v>2017</v>
      </c>
      <c r="I234" s="273">
        <v>293</v>
      </c>
      <c r="J234" s="273">
        <v>1832</v>
      </c>
      <c r="K234" s="273">
        <v>862</v>
      </c>
      <c r="L234" s="273">
        <v>15233</v>
      </c>
      <c r="M234" s="273">
        <v>1649</v>
      </c>
      <c r="N234" s="273">
        <v>891</v>
      </c>
      <c r="O234" s="273">
        <v>341</v>
      </c>
      <c r="P234" s="273">
        <v>20131</v>
      </c>
      <c r="Q234" s="273">
        <v>36</v>
      </c>
      <c r="R234" s="273">
        <v>29</v>
      </c>
      <c r="S234" s="273">
        <v>580.83</v>
      </c>
      <c r="T234" s="273">
        <v>34.65902243341425</v>
      </c>
      <c r="U234" s="273">
        <v>0</v>
      </c>
      <c r="V234" s="273">
        <v>0</v>
      </c>
      <c r="W234" s="273">
        <v>9031</v>
      </c>
      <c r="X234" s="273">
        <v>338</v>
      </c>
      <c r="Y234" s="273">
        <v>91</v>
      </c>
      <c r="Z234" s="273">
        <v>1.0006527717179878</v>
      </c>
      <c r="AA234" s="273">
        <v>18</v>
      </c>
      <c r="AB234" s="273">
        <v>18</v>
      </c>
      <c r="AC234" s="273">
        <v>0.5784653206626039</v>
      </c>
      <c r="AD234" s="273">
        <v>568</v>
      </c>
      <c r="AE234" s="273">
        <v>122</v>
      </c>
      <c r="AF234" s="273">
        <v>31</v>
      </c>
      <c r="AG234" s="273">
        <v>4</v>
      </c>
      <c r="AH234" s="273">
        <v>725</v>
      </c>
      <c r="AI234" s="273">
        <v>0.7160777094545001</v>
      </c>
      <c r="AJ234" s="273">
        <v>9741</v>
      </c>
      <c r="AK234" s="273">
        <v>532</v>
      </c>
      <c r="AL234" s="273">
        <v>0.5778357259067108</v>
      </c>
      <c r="AM234" s="273">
        <v>0.765580179089957</v>
      </c>
      <c r="AN234" s="273">
        <v>0</v>
      </c>
      <c r="AO234" s="273">
        <v>0</v>
      </c>
      <c r="AP234" s="273">
        <f t="shared" si="2"/>
        <v>0</v>
      </c>
      <c r="AQ234" s="273">
        <v>80214.3359831199</v>
      </c>
      <c r="AR234" s="273">
        <v>1366465.373513924</v>
      </c>
      <c r="AS234" s="273">
        <v>1</v>
      </c>
      <c r="AT234" s="273">
        <v>20131</v>
      </c>
      <c r="AU234" s="273">
        <v>0</v>
      </c>
      <c r="AV234" s="273">
        <v>0</v>
      </c>
      <c r="AW234" s="273">
        <v>0</v>
      </c>
      <c r="AX234" s="273">
        <v>0</v>
      </c>
      <c r="AY234" s="273">
        <v>580.83</v>
      </c>
      <c r="AZ234" s="273">
        <v>34.65902243341425</v>
      </c>
      <c r="BA234" s="273">
        <v>13798</v>
      </c>
      <c r="BB234" s="273">
        <v>0.6854105608265859</v>
      </c>
      <c r="BC234" s="273">
        <v>0</v>
      </c>
      <c r="BD234" s="273">
        <v>0</v>
      </c>
      <c r="BE234" s="273">
        <v>19432</v>
      </c>
      <c r="BF234" s="273">
        <v>20131</v>
      </c>
      <c r="BG234" s="273">
        <v>0.035971593248250305</v>
      </c>
      <c r="BH234" s="273">
        <v>0</v>
      </c>
      <c r="BI234" s="273">
        <v>1</v>
      </c>
      <c r="BJ234" s="273">
        <v>4.967463116586359E-05</v>
      </c>
      <c r="BK234" s="273">
        <v>2731729.6890832856</v>
      </c>
      <c r="BL234" s="273">
        <v>5966.28</v>
      </c>
    </row>
    <row r="235" spans="6:64" s="273" customFormat="1" ht="12.75">
      <c r="F235" s="273">
        <v>508</v>
      </c>
      <c r="G235" s="273" t="s">
        <v>171</v>
      </c>
      <c r="H235" s="273">
        <v>665</v>
      </c>
      <c r="I235" s="273">
        <v>93</v>
      </c>
      <c r="J235" s="273">
        <v>653</v>
      </c>
      <c r="K235" s="273">
        <v>350</v>
      </c>
      <c r="L235" s="273">
        <v>7713</v>
      </c>
      <c r="M235" s="273">
        <v>1483</v>
      </c>
      <c r="N235" s="273">
        <v>1008</v>
      </c>
      <c r="O235" s="273">
        <v>439</v>
      </c>
      <c r="P235" s="273">
        <v>11308</v>
      </c>
      <c r="Q235" s="273">
        <v>0</v>
      </c>
      <c r="R235" s="273">
        <v>20</v>
      </c>
      <c r="S235" s="273">
        <v>534.53</v>
      </c>
      <c r="T235" s="273">
        <v>21.155033393822613</v>
      </c>
      <c r="U235" s="273">
        <v>0</v>
      </c>
      <c r="V235" s="273">
        <v>0</v>
      </c>
      <c r="W235" s="273">
        <v>4317</v>
      </c>
      <c r="X235" s="273">
        <v>146</v>
      </c>
      <c r="Y235" s="273">
        <v>42</v>
      </c>
      <c r="Z235" s="273">
        <v>1.0048069746033947</v>
      </c>
      <c r="AA235" s="273">
        <v>20</v>
      </c>
      <c r="AB235" s="273">
        <v>20</v>
      </c>
      <c r="AC235" s="273">
        <v>1.144232732997178</v>
      </c>
      <c r="AD235" s="273">
        <v>711</v>
      </c>
      <c r="AE235" s="273">
        <v>82</v>
      </c>
      <c r="AF235" s="273">
        <v>28</v>
      </c>
      <c r="AG235" s="273">
        <v>9</v>
      </c>
      <c r="AH235" s="273">
        <v>830</v>
      </c>
      <c r="AI235" s="273">
        <v>1.4594183070019018</v>
      </c>
      <c r="AJ235" s="273">
        <v>5009</v>
      </c>
      <c r="AK235" s="273">
        <v>588</v>
      </c>
      <c r="AL235" s="273">
        <v>1.2420028572485595</v>
      </c>
      <c r="AM235" s="273">
        <v>1.12471737911273</v>
      </c>
      <c r="AN235" s="273">
        <v>0</v>
      </c>
      <c r="AO235" s="273">
        <v>0</v>
      </c>
      <c r="AP235" s="273">
        <f t="shared" si="2"/>
        <v>0</v>
      </c>
      <c r="AQ235" s="273">
        <v>12822.151121586561</v>
      </c>
      <c r="AR235" s="273">
        <v>1483066.2410634195</v>
      </c>
      <c r="AS235" s="273">
        <v>1</v>
      </c>
      <c r="AT235" s="273">
        <v>11308</v>
      </c>
      <c r="AU235" s="273">
        <v>0</v>
      </c>
      <c r="AV235" s="273">
        <v>0</v>
      </c>
      <c r="AW235" s="273">
        <v>0</v>
      </c>
      <c r="AX235" s="273">
        <v>0</v>
      </c>
      <c r="AY235" s="273">
        <v>534.53</v>
      </c>
      <c r="AZ235" s="273">
        <v>21.155033393822613</v>
      </c>
      <c r="BA235" s="273">
        <v>9201</v>
      </c>
      <c r="BB235" s="273">
        <v>0.8136717368234878</v>
      </c>
      <c r="BC235" s="273">
        <v>0</v>
      </c>
      <c r="BD235" s="273">
        <v>0</v>
      </c>
      <c r="BE235" s="273">
        <v>11645</v>
      </c>
      <c r="BF235" s="273">
        <v>11308</v>
      </c>
      <c r="BG235" s="273">
        <v>-0.028939458995276942</v>
      </c>
      <c r="BH235" s="273">
        <v>0</v>
      </c>
      <c r="BI235" s="273">
        <v>3</v>
      </c>
      <c r="BJ235" s="273">
        <v>0.0002652989034311992</v>
      </c>
      <c r="BK235" s="273">
        <v>1758927.8627429144</v>
      </c>
      <c r="BL235" s="273">
        <v>6306.54</v>
      </c>
    </row>
    <row r="236" spans="6:64" s="273" customFormat="1" ht="12.75">
      <c r="F236" s="273">
        <v>507</v>
      </c>
      <c r="G236" s="273" t="s">
        <v>172</v>
      </c>
      <c r="H236" s="273">
        <v>346</v>
      </c>
      <c r="I236" s="273">
        <v>65</v>
      </c>
      <c r="J236" s="273">
        <v>341</v>
      </c>
      <c r="K236" s="273">
        <v>198</v>
      </c>
      <c r="L236" s="273">
        <v>4296</v>
      </c>
      <c r="M236" s="273">
        <v>911</v>
      </c>
      <c r="N236" s="273">
        <v>626</v>
      </c>
      <c r="O236" s="273">
        <v>214</v>
      </c>
      <c r="P236" s="273">
        <v>6393</v>
      </c>
      <c r="Q236" s="273">
        <v>1</v>
      </c>
      <c r="R236" s="273">
        <v>11</v>
      </c>
      <c r="S236" s="273">
        <v>981.78</v>
      </c>
      <c r="T236" s="273">
        <v>6.511642119415756</v>
      </c>
      <c r="U236" s="273">
        <v>0</v>
      </c>
      <c r="V236" s="273">
        <v>0</v>
      </c>
      <c r="W236" s="273">
        <v>2387</v>
      </c>
      <c r="X236" s="273">
        <v>285</v>
      </c>
      <c r="Y236" s="273">
        <v>34</v>
      </c>
      <c r="Z236" s="273">
        <v>0.9101603710745694</v>
      </c>
      <c r="AA236" s="273">
        <v>11</v>
      </c>
      <c r="AB236" s="273">
        <v>11</v>
      </c>
      <c r="AC236" s="273">
        <v>1.1131614358834112</v>
      </c>
      <c r="AD236" s="273">
        <v>381</v>
      </c>
      <c r="AE236" s="273">
        <v>49</v>
      </c>
      <c r="AF236" s="273">
        <v>6</v>
      </c>
      <c r="AG236" s="273">
        <v>4</v>
      </c>
      <c r="AH236" s="273">
        <v>440</v>
      </c>
      <c r="AI236" s="273">
        <v>1.3684705928084184</v>
      </c>
      <c r="AJ236" s="273">
        <v>2667</v>
      </c>
      <c r="AK236" s="273">
        <v>246</v>
      </c>
      <c r="AL236" s="273">
        <v>0.9759069075177316</v>
      </c>
      <c r="AM236" s="273">
        <v>1.60704172587196</v>
      </c>
      <c r="AN236" s="273">
        <v>0</v>
      </c>
      <c r="AO236" s="273">
        <v>0</v>
      </c>
      <c r="AP236" s="273">
        <f t="shared" si="2"/>
        <v>0</v>
      </c>
      <c r="AQ236" s="273">
        <v>122414.00437887199</v>
      </c>
      <c r="AR236" s="273">
        <v>3272937.7401736807</v>
      </c>
      <c r="AS236" s="273">
        <v>1</v>
      </c>
      <c r="AT236" s="273">
        <v>6393</v>
      </c>
      <c r="AU236" s="273">
        <v>0</v>
      </c>
      <c r="AV236" s="273">
        <v>0</v>
      </c>
      <c r="AW236" s="273">
        <v>0</v>
      </c>
      <c r="AX236" s="273">
        <v>0.1634</v>
      </c>
      <c r="AY236" s="273">
        <v>981.78</v>
      </c>
      <c r="AZ236" s="273">
        <v>6.511642119415756</v>
      </c>
      <c r="BA236" s="273">
        <v>4013</v>
      </c>
      <c r="BB236" s="273">
        <v>0.6277178163616456</v>
      </c>
      <c r="BC236" s="273">
        <v>0</v>
      </c>
      <c r="BD236" s="273">
        <v>0</v>
      </c>
      <c r="BE236" s="273">
        <v>6570</v>
      </c>
      <c r="BF236" s="273">
        <v>6393</v>
      </c>
      <c r="BG236" s="273">
        <v>-0.026940639269406392</v>
      </c>
      <c r="BH236" s="273">
        <v>0</v>
      </c>
      <c r="BI236" s="273">
        <v>0</v>
      </c>
      <c r="BJ236" s="273">
        <v>0</v>
      </c>
      <c r="BK236" s="273">
        <v>1087834.8458527776</v>
      </c>
      <c r="BL236" s="273">
        <v>7100.73</v>
      </c>
    </row>
    <row r="237" spans="6:64" s="273" customFormat="1" ht="12.75">
      <c r="F237" s="273">
        <v>529</v>
      </c>
      <c r="G237" s="273" t="s">
        <v>173</v>
      </c>
      <c r="H237" s="273">
        <v>1414</v>
      </c>
      <c r="I237" s="273">
        <v>216</v>
      </c>
      <c r="J237" s="273">
        <v>1293</v>
      </c>
      <c r="K237" s="273">
        <v>718</v>
      </c>
      <c r="L237" s="273">
        <v>13938</v>
      </c>
      <c r="M237" s="273">
        <v>2048</v>
      </c>
      <c r="N237" s="273">
        <v>1085</v>
      </c>
      <c r="O237" s="273">
        <v>386</v>
      </c>
      <c r="P237" s="273">
        <v>18871</v>
      </c>
      <c r="Q237" s="273">
        <v>13</v>
      </c>
      <c r="R237" s="273">
        <v>21</v>
      </c>
      <c r="S237" s="273">
        <v>311.49</v>
      </c>
      <c r="T237" s="273">
        <v>60.58300426979999</v>
      </c>
      <c r="U237" s="273">
        <v>1</v>
      </c>
      <c r="V237" s="273">
        <v>0</v>
      </c>
      <c r="W237" s="273">
        <v>8410</v>
      </c>
      <c r="X237" s="273">
        <v>196</v>
      </c>
      <c r="Y237" s="273">
        <v>87</v>
      </c>
      <c r="Z237" s="273">
        <v>1.0152057542008603</v>
      </c>
      <c r="AA237" s="273">
        <v>19</v>
      </c>
      <c r="AB237" s="273">
        <v>19</v>
      </c>
      <c r="AC237" s="273">
        <v>0.651371657967012</v>
      </c>
      <c r="AD237" s="273">
        <v>681</v>
      </c>
      <c r="AE237" s="273">
        <v>143</v>
      </c>
      <c r="AF237" s="273">
        <v>45</v>
      </c>
      <c r="AG237" s="273">
        <v>8</v>
      </c>
      <c r="AH237" s="273">
        <v>877</v>
      </c>
      <c r="AI237" s="273">
        <v>0.9240429883209254</v>
      </c>
      <c r="AJ237" s="273">
        <v>9153</v>
      </c>
      <c r="AK237" s="273">
        <v>599</v>
      </c>
      <c r="AL237" s="273">
        <v>0.6924041474195782</v>
      </c>
      <c r="AM237" s="273">
        <v>0.86591476224063</v>
      </c>
      <c r="AN237" s="273">
        <v>0</v>
      </c>
      <c r="AO237" s="273">
        <v>0</v>
      </c>
      <c r="AP237" s="273">
        <f t="shared" si="2"/>
        <v>0</v>
      </c>
      <c r="AQ237" s="273">
        <v>-180401.39770806208</v>
      </c>
      <c r="AR237" s="273">
        <v>-4187735.7459560037</v>
      </c>
      <c r="AS237" s="273">
        <v>1</v>
      </c>
      <c r="AT237" s="273">
        <v>18871</v>
      </c>
      <c r="AU237" s="273">
        <v>1</v>
      </c>
      <c r="AV237" s="273">
        <v>4220</v>
      </c>
      <c r="AW237" s="273">
        <v>0.2236235493614541</v>
      </c>
      <c r="AX237" s="273">
        <v>0</v>
      </c>
      <c r="AY237" s="273">
        <v>311.49</v>
      </c>
      <c r="AZ237" s="273">
        <v>60.58300426979999</v>
      </c>
      <c r="BA237" s="273">
        <v>15921</v>
      </c>
      <c r="BB237" s="273">
        <v>0.8436754808966138</v>
      </c>
      <c r="BC237" s="273">
        <v>0</v>
      </c>
      <c r="BD237" s="273">
        <v>0</v>
      </c>
      <c r="BE237" s="273">
        <v>18391</v>
      </c>
      <c r="BF237" s="273">
        <v>18871</v>
      </c>
      <c r="BG237" s="273">
        <v>0.026099722690446414</v>
      </c>
      <c r="BH237" s="273">
        <v>0</v>
      </c>
      <c r="BI237" s="273">
        <v>2</v>
      </c>
      <c r="BJ237" s="273">
        <v>0.00010598272481585502</v>
      </c>
      <c r="BK237" s="273">
        <v>2196967.2147660125</v>
      </c>
      <c r="BL237" s="273">
        <v>5868.7</v>
      </c>
    </row>
    <row r="238" spans="6:64" s="273" customFormat="1" ht="12.75">
      <c r="F238" s="273">
        <v>531</v>
      </c>
      <c r="G238" s="273" t="s">
        <v>174</v>
      </c>
      <c r="H238" s="273">
        <v>443</v>
      </c>
      <c r="I238" s="273">
        <v>72</v>
      </c>
      <c r="J238" s="273">
        <v>404</v>
      </c>
      <c r="K238" s="273">
        <v>224</v>
      </c>
      <c r="L238" s="273">
        <v>4047</v>
      </c>
      <c r="M238" s="273">
        <v>724</v>
      </c>
      <c r="N238" s="273">
        <v>415</v>
      </c>
      <c r="O238" s="273">
        <v>151</v>
      </c>
      <c r="P238" s="273">
        <v>5780</v>
      </c>
      <c r="Q238" s="273">
        <v>3</v>
      </c>
      <c r="R238" s="273">
        <v>2</v>
      </c>
      <c r="S238" s="273">
        <v>182.91</v>
      </c>
      <c r="T238" s="273">
        <v>31.60024055546444</v>
      </c>
      <c r="U238" s="273">
        <v>0</v>
      </c>
      <c r="V238" s="273">
        <v>0</v>
      </c>
      <c r="W238" s="273">
        <v>2236</v>
      </c>
      <c r="X238" s="273">
        <v>120</v>
      </c>
      <c r="Y238" s="273">
        <v>30</v>
      </c>
      <c r="Z238" s="273">
        <v>0.9800817709515394</v>
      </c>
      <c r="AA238" s="273">
        <v>10</v>
      </c>
      <c r="AB238" s="273">
        <v>10</v>
      </c>
      <c r="AC238" s="273">
        <v>1.1192892512744022</v>
      </c>
      <c r="AD238" s="273">
        <v>282</v>
      </c>
      <c r="AE238" s="273">
        <v>35</v>
      </c>
      <c r="AF238" s="273">
        <v>9</v>
      </c>
      <c r="AG238" s="273">
        <v>3</v>
      </c>
      <c r="AH238" s="273">
        <v>329</v>
      </c>
      <c r="AI238" s="273">
        <v>1.1317631694094716</v>
      </c>
      <c r="AJ238" s="273">
        <v>2575</v>
      </c>
      <c r="AK238" s="273">
        <v>254</v>
      </c>
      <c r="AL238" s="273">
        <v>1.0436449687849818</v>
      </c>
      <c r="AM238" s="273">
        <v>0.92512623643691</v>
      </c>
      <c r="AN238" s="273">
        <v>0</v>
      </c>
      <c r="AO238" s="273">
        <v>0</v>
      </c>
      <c r="AP238" s="273">
        <f t="shared" si="2"/>
        <v>0</v>
      </c>
      <c r="AQ238" s="273">
        <v>-12822.98214763403</v>
      </c>
      <c r="AR238" s="273">
        <v>2018488.4259746827</v>
      </c>
      <c r="AS238" s="273">
        <v>1</v>
      </c>
      <c r="AT238" s="273">
        <v>5780</v>
      </c>
      <c r="AU238" s="273">
        <v>0</v>
      </c>
      <c r="AV238" s="273">
        <v>0</v>
      </c>
      <c r="AW238" s="273">
        <v>0</v>
      </c>
      <c r="AX238" s="273">
        <v>0</v>
      </c>
      <c r="AY238" s="273">
        <v>182.91</v>
      </c>
      <c r="AZ238" s="273">
        <v>31.60024055546444</v>
      </c>
      <c r="BA238" s="273">
        <v>4187</v>
      </c>
      <c r="BB238" s="273">
        <v>0.7243944636678201</v>
      </c>
      <c r="BC238" s="273">
        <v>0</v>
      </c>
      <c r="BD238" s="273">
        <v>0</v>
      </c>
      <c r="BE238" s="273">
        <v>5782</v>
      </c>
      <c r="BF238" s="273">
        <v>5780</v>
      </c>
      <c r="BG238" s="273">
        <v>-0.0003459010722933241</v>
      </c>
      <c r="BH238" s="273">
        <v>0</v>
      </c>
      <c r="BI238" s="273">
        <v>0</v>
      </c>
      <c r="BJ238" s="273">
        <v>0</v>
      </c>
      <c r="BK238" s="273">
        <v>883601.4383758766</v>
      </c>
      <c r="BL238" s="273">
        <v>6017.09</v>
      </c>
    </row>
    <row r="239" spans="6:64" s="273" customFormat="1" ht="12.75">
      <c r="F239" s="273">
        <v>532</v>
      </c>
      <c r="G239" s="273" t="s">
        <v>175</v>
      </c>
      <c r="H239" s="273">
        <v>1351</v>
      </c>
      <c r="I239" s="273">
        <v>198</v>
      </c>
      <c r="J239" s="273">
        <v>1065</v>
      </c>
      <c r="K239" s="273">
        <v>556</v>
      </c>
      <c r="L239" s="273">
        <v>11176</v>
      </c>
      <c r="M239" s="273">
        <v>1563</v>
      </c>
      <c r="N239" s="273">
        <v>717</v>
      </c>
      <c r="O239" s="273">
        <v>220</v>
      </c>
      <c r="P239" s="273">
        <v>15027</v>
      </c>
      <c r="Q239" s="273">
        <v>9</v>
      </c>
      <c r="R239" s="273">
        <v>43</v>
      </c>
      <c r="S239" s="273">
        <v>324.18</v>
      </c>
      <c r="T239" s="273">
        <v>46.35387747547659</v>
      </c>
      <c r="U239" s="273">
        <v>0</v>
      </c>
      <c r="V239" s="273">
        <v>0</v>
      </c>
      <c r="W239" s="273">
        <v>6418</v>
      </c>
      <c r="X239" s="273">
        <v>172</v>
      </c>
      <c r="Y239" s="273">
        <v>71</v>
      </c>
      <c r="Z239" s="273">
        <v>1.010780967782306</v>
      </c>
      <c r="AA239" s="273">
        <v>27</v>
      </c>
      <c r="AB239" s="273">
        <v>27</v>
      </c>
      <c r="AC239" s="273">
        <v>1.1624161878876902</v>
      </c>
      <c r="AD239" s="273">
        <v>467</v>
      </c>
      <c r="AE239" s="273">
        <v>95</v>
      </c>
      <c r="AF239" s="273">
        <v>20</v>
      </c>
      <c r="AG239" s="273">
        <v>6</v>
      </c>
      <c r="AH239" s="273">
        <v>588</v>
      </c>
      <c r="AI239" s="273">
        <v>0.7780231809858378</v>
      </c>
      <c r="AJ239" s="273">
        <v>7410</v>
      </c>
      <c r="AK239" s="273">
        <v>720</v>
      </c>
      <c r="AL239" s="273">
        <v>1.0280413636219177</v>
      </c>
      <c r="AM239" s="273">
        <v>0.980751937172436</v>
      </c>
      <c r="AN239" s="273">
        <v>0</v>
      </c>
      <c r="AO239" s="273">
        <v>0</v>
      </c>
      <c r="AP239" s="273">
        <f t="shared" si="2"/>
        <v>0</v>
      </c>
      <c r="AQ239" s="273">
        <v>-84602.05379173532</v>
      </c>
      <c r="AR239" s="273">
        <v>1632541.9742829332</v>
      </c>
      <c r="AS239" s="273">
        <v>0</v>
      </c>
      <c r="AT239" s="273">
        <v>15027</v>
      </c>
      <c r="AU239" s="273">
        <v>0</v>
      </c>
      <c r="AV239" s="273">
        <v>0</v>
      </c>
      <c r="AW239" s="273">
        <v>0</v>
      </c>
      <c r="AX239" s="273">
        <v>0</v>
      </c>
      <c r="AY239" s="273">
        <v>324.18</v>
      </c>
      <c r="AZ239" s="273">
        <v>46.35387747547659</v>
      </c>
      <c r="BA239" s="273">
        <v>12206</v>
      </c>
      <c r="BB239" s="273">
        <v>0.8122712450921674</v>
      </c>
      <c r="BC239" s="273">
        <v>0</v>
      </c>
      <c r="BD239" s="273">
        <v>0</v>
      </c>
      <c r="BE239" s="273">
        <v>15044</v>
      </c>
      <c r="BF239" s="273">
        <v>15027</v>
      </c>
      <c r="BG239" s="273">
        <v>-0.0011300186120712576</v>
      </c>
      <c r="BH239" s="273">
        <v>0</v>
      </c>
      <c r="BI239" s="273">
        <v>1</v>
      </c>
      <c r="BJ239" s="273">
        <v>6.654688227856525E-05</v>
      </c>
      <c r="BK239" s="273">
        <v>2215906.625144129</v>
      </c>
      <c r="BL239" s="273">
        <v>5883.87</v>
      </c>
    </row>
    <row r="240" spans="6:64" s="273" customFormat="1" ht="12.75">
      <c r="F240" s="273">
        <v>535</v>
      </c>
      <c r="G240" s="273" t="s">
        <v>176</v>
      </c>
      <c r="H240" s="273">
        <v>1291</v>
      </c>
      <c r="I240" s="273">
        <v>173</v>
      </c>
      <c r="J240" s="273">
        <v>995</v>
      </c>
      <c r="K240" s="273">
        <v>487</v>
      </c>
      <c r="L240" s="273">
        <v>7851</v>
      </c>
      <c r="M240" s="273">
        <v>950</v>
      </c>
      <c r="N240" s="273">
        <v>670</v>
      </c>
      <c r="O240" s="273">
        <v>289</v>
      </c>
      <c r="P240" s="273">
        <v>11051</v>
      </c>
      <c r="Q240" s="273">
        <v>0</v>
      </c>
      <c r="R240" s="273">
        <v>10</v>
      </c>
      <c r="S240" s="273">
        <v>527.94</v>
      </c>
      <c r="T240" s="273">
        <v>20.93230291320983</v>
      </c>
      <c r="U240" s="273">
        <v>0</v>
      </c>
      <c r="V240" s="273">
        <v>0</v>
      </c>
      <c r="W240" s="273">
        <v>3989</v>
      </c>
      <c r="X240" s="273">
        <v>643</v>
      </c>
      <c r="Y240" s="273">
        <v>46</v>
      </c>
      <c r="Z240" s="273">
        <v>0.8690999206948086</v>
      </c>
      <c r="AA240" s="273">
        <v>7</v>
      </c>
      <c r="AB240" s="273">
        <v>7</v>
      </c>
      <c r="AC240" s="273">
        <v>0.4097949787943381</v>
      </c>
      <c r="AD240" s="273">
        <v>657</v>
      </c>
      <c r="AE240" s="273">
        <v>93</v>
      </c>
      <c r="AF240" s="273">
        <v>23</v>
      </c>
      <c r="AG240" s="273">
        <v>2</v>
      </c>
      <c r="AH240" s="273">
        <v>775</v>
      </c>
      <c r="AI240" s="273">
        <v>1.3944007920640193</v>
      </c>
      <c r="AJ240" s="273">
        <v>4581</v>
      </c>
      <c r="AK240" s="273">
        <v>391</v>
      </c>
      <c r="AL240" s="273">
        <v>0.9030520153397542</v>
      </c>
      <c r="AM240" s="273">
        <v>1.23381539692201</v>
      </c>
      <c r="AN240" s="273">
        <v>0</v>
      </c>
      <c r="AO240" s="273">
        <v>0</v>
      </c>
      <c r="AP240" s="273">
        <f t="shared" si="2"/>
        <v>0</v>
      </c>
      <c r="AQ240" s="273">
        <v>74965.71019779146</v>
      </c>
      <c r="AR240" s="273">
        <v>9453395.192917073</v>
      </c>
      <c r="AS240" s="273">
        <v>1</v>
      </c>
      <c r="AT240" s="273">
        <v>11051</v>
      </c>
      <c r="AU240" s="273">
        <v>0</v>
      </c>
      <c r="AV240" s="273">
        <v>0</v>
      </c>
      <c r="AW240" s="273">
        <v>0</v>
      </c>
      <c r="AX240" s="273">
        <v>0</v>
      </c>
      <c r="AY240" s="273">
        <v>527.94</v>
      </c>
      <c r="AZ240" s="273">
        <v>20.93230291320983</v>
      </c>
      <c r="BA240" s="273">
        <v>6956</v>
      </c>
      <c r="BB240" s="273">
        <v>0.6294452990679577</v>
      </c>
      <c r="BC240" s="273">
        <v>0</v>
      </c>
      <c r="BD240" s="273">
        <v>0</v>
      </c>
      <c r="BE240" s="273">
        <v>10984</v>
      </c>
      <c r="BF240" s="273">
        <v>11051</v>
      </c>
      <c r="BG240" s="273">
        <v>0.006099781500364166</v>
      </c>
      <c r="BH240" s="273">
        <v>0</v>
      </c>
      <c r="BI240" s="273">
        <v>0</v>
      </c>
      <c r="BJ240" s="273">
        <v>0</v>
      </c>
      <c r="BK240" s="273">
        <v>1956868.9213853606</v>
      </c>
      <c r="BL240" s="273">
        <v>6295.34</v>
      </c>
    </row>
    <row r="241" spans="6:64" s="273" customFormat="1" ht="12.75">
      <c r="F241" s="273">
        <v>536</v>
      </c>
      <c r="G241" s="273" t="s">
        <v>177</v>
      </c>
      <c r="H241" s="273">
        <v>3234</v>
      </c>
      <c r="I241" s="273">
        <v>454</v>
      </c>
      <c r="J241" s="273">
        <v>2442</v>
      </c>
      <c r="K241" s="273">
        <v>1146</v>
      </c>
      <c r="L241" s="273">
        <v>23714</v>
      </c>
      <c r="M241" s="273">
        <v>2858</v>
      </c>
      <c r="N241" s="273">
        <v>1706</v>
      </c>
      <c r="O241" s="273">
        <v>544</v>
      </c>
      <c r="P241" s="273">
        <v>32056</v>
      </c>
      <c r="Q241" s="273">
        <v>29</v>
      </c>
      <c r="R241" s="273">
        <v>78</v>
      </c>
      <c r="S241" s="273">
        <v>288.18</v>
      </c>
      <c r="T241" s="273">
        <v>111.23603303490873</v>
      </c>
      <c r="U241" s="273">
        <v>0</v>
      </c>
      <c r="V241" s="273">
        <v>0</v>
      </c>
      <c r="W241" s="273">
        <v>13250</v>
      </c>
      <c r="X241" s="273">
        <v>146</v>
      </c>
      <c r="Y241" s="273">
        <v>110</v>
      </c>
      <c r="Z241" s="273">
        <v>1.0302598867917387</v>
      </c>
      <c r="AA241" s="273">
        <v>41</v>
      </c>
      <c r="AB241" s="273">
        <v>41</v>
      </c>
      <c r="AC241" s="273">
        <v>0.8274555988489138</v>
      </c>
      <c r="AD241" s="273">
        <v>1270</v>
      </c>
      <c r="AE241" s="273">
        <v>252</v>
      </c>
      <c r="AF241" s="273">
        <v>66</v>
      </c>
      <c r="AG241" s="273">
        <v>11</v>
      </c>
      <c r="AH241" s="273">
        <v>1599</v>
      </c>
      <c r="AI241" s="273">
        <v>0.9918057722294881</v>
      </c>
      <c r="AJ241" s="273">
        <v>15320</v>
      </c>
      <c r="AK241" s="273">
        <v>1509</v>
      </c>
      <c r="AL241" s="273">
        <v>1.0421417024947022</v>
      </c>
      <c r="AM241" s="273">
        <v>0.886782843287441</v>
      </c>
      <c r="AN241" s="273">
        <v>0</v>
      </c>
      <c r="AO241" s="273">
        <v>0</v>
      </c>
      <c r="AP241" s="273">
        <f t="shared" si="2"/>
        <v>0</v>
      </c>
      <c r="AQ241" s="273">
        <v>-794237.1566494778</v>
      </c>
      <c r="AR241" s="273">
        <v>-2470632.640983697</v>
      </c>
      <c r="AS241" s="273">
        <v>1</v>
      </c>
      <c r="AT241" s="273">
        <v>32056</v>
      </c>
      <c r="AU241" s="273">
        <v>0</v>
      </c>
      <c r="AV241" s="273">
        <v>0</v>
      </c>
      <c r="AW241" s="273">
        <v>0</v>
      </c>
      <c r="AX241" s="273">
        <v>0</v>
      </c>
      <c r="AY241" s="273">
        <v>288.18</v>
      </c>
      <c r="AZ241" s="273">
        <v>111.23603303490873</v>
      </c>
      <c r="BA241" s="273">
        <v>29081</v>
      </c>
      <c r="BB241" s="273">
        <v>0.9071936610930871</v>
      </c>
      <c r="BC241" s="273">
        <v>0</v>
      </c>
      <c r="BD241" s="273">
        <v>0</v>
      </c>
      <c r="BE241" s="273">
        <v>30951</v>
      </c>
      <c r="BF241" s="273">
        <v>32056</v>
      </c>
      <c r="BG241" s="273">
        <v>0.035701592840295955</v>
      </c>
      <c r="BH241" s="273">
        <v>0</v>
      </c>
      <c r="BI241" s="273">
        <v>0</v>
      </c>
      <c r="BJ241" s="273">
        <v>0</v>
      </c>
      <c r="BK241" s="273">
        <v>4570888.982952492</v>
      </c>
      <c r="BL241" s="273">
        <v>5876.04</v>
      </c>
    </row>
    <row r="242" spans="6:64" s="273" customFormat="1" ht="12.75">
      <c r="F242" s="273">
        <v>538</v>
      </c>
      <c r="G242" s="273" t="s">
        <v>178</v>
      </c>
      <c r="H242" s="273">
        <v>482</v>
      </c>
      <c r="I242" s="273">
        <v>76</v>
      </c>
      <c r="J242" s="273">
        <v>414</v>
      </c>
      <c r="K242" s="273">
        <v>194</v>
      </c>
      <c r="L242" s="273">
        <v>3618</v>
      </c>
      <c r="M242" s="273">
        <v>371</v>
      </c>
      <c r="N242" s="273">
        <v>253</v>
      </c>
      <c r="O242" s="273">
        <v>90</v>
      </c>
      <c r="P242" s="273">
        <v>4814</v>
      </c>
      <c r="Q242" s="273">
        <v>4</v>
      </c>
      <c r="R242" s="273">
        <v>2</v>
      </c>
      <c r="S242" s="273">
        <v>198.81</v>
      </c>
      <c r="T242" s="273">
        <v>24.214073738745537</v>
      </c>
      <c r="U242" s="273">
        <v>0</v>
      </c>
      <c r="V242" s="273">
        <v>0</v>
      </c>
      <c r="W242" s="273">
        <v>2223</v>
      </c>
      <c r="X242" s="273">
        <v>139</v>
      </c>
      <c r="Y242" s="273">
        <v>14</v>
      </c>
      <c r="Z242" s="273">
        <v>0.9782518761377328</v>
      </c>
      <c r="AA242" s="273">
        <v>6</v>
      </c>
      <c r="AB242" s="273">
        <v>6</v>
      </c>
      <c r="AC242" s="273">
        <v>0.8063346745782357</v>
      </c>
      <c r="AD242" s="273">
        <v>183</v>
      </c>
      <c r="AE242" s="273">
        <v>62</v>
      </c>
      <c r="AF242" s="273">
        <v>7</v>
      </c>
      <c r="AG242" s="273">
        <v>2</v>
      </c>
      <c r="AH242" s="273">
        <v>254</v>
      </c>
      <c r="AI242" s="273">
        <v>1.0490957505360086</v>
      </c>
      <c r="AJ242" s="273">
        <v>2400</v>
      </c>
      <c r="AK242" s="273">
        <v>133</v>
      </c>
      <c r="AL242" s="273">
        <v>0.5863226881309657</v>
      </c>
      <c r="AM242" s="273">
        <v>0.777993029362487</v>
      </c>
      <c r="AN242" s="273">
        <v>0</v>
      </c>
      <c r="AO242" s="273">
        <v>0</v>
      </c>
      <c r="AP242" s="273">
        <f t="shared" si="2"/>
        <v>0</v>
      </c>
      <c r="AQ242" s="273">
        <v>79742.1947365161</v>
      </c>
      <c r="AR242" s="273">
        <v>1364993.7385076932</v>
      </c>
      <c r="AS242" s="273">
        <v>1</v>
      </c>
      <c r="AT242" s="273">
        <v>4814</v>
      </c>
      <c r="AU242" s="273">
        <v>0</v>
      </c>
      <c r="AV242" s="273">
        <v>0</v>
      </c>
      <c r="AW242" s="273">
        <v>0</v>
      </c>
      <c r="AX242" s="273">
        <v>0</v>
      </c>
      <c r="AY242" s="273">
        <v>198.81</v>
      </c>
      <c r="AZ242" s="273">
        <v>24.214073738745537</v>
      </c>
      <c r="BA242" s="273">
        <v>3026</v>
      </c>
      <c r="BB242" s="273">
        <v>0.6285832987120897</v>
      </c>
      <c r="BC242" s="273">
        <v>0</v>
      </c>
      <c r="BD242" s="273">
        <v>0</v>
      </c>
      <c r="BE242" s="273">
        <v>4809</v>
      </c>
      <c r="BF242" s="273">
        <v>4814</v>
      </c>
      <c r="BG242" s="273">
        <v>0.001039717196922437</v>
      </c>
      <c r="BH242" s="273">
        <v>0</v>
      </c>
      <c r="BI242" s="273">
        <v>1</v>
      </c>
      <c r="BJ242" s="273">
        <v>0.0002077274615704196</v>
      </c>
      <c r="BK242" s="273">
        <v>726541.1458783145</v>
      </c>
      <c r="BL242" s="273">
        <v>6195.69</v>
      </c>
    </row>
    <row r="243" spans="6:64" s="273" customFormat="1" ht="12.75">
      <c r="F243" s="273">
        <v>541</v>
      </c>
      <c r="G243" s="273" t="s">
        <v>179</v>
      </c>
      <c r="H243" s="273">
        <v>444</v>
      </c>
      <c r="I243" s="273">
        <v>79</v>
      </c>
      <c r="J243" s="273">
        <v>446</v>
      </c>
      <c r="K243" s="273">
        <v>230</v>
      </c>
      <c r="L243" s="273">
        <v>5673</v>
      </c>
      <c r="M243" s="273">
        <v>1141</v>
      </c>
      <c r="N243" s="273">
        <v>820</v>
      </c>
      <c r="O243" s="273">
        <v>281</v>
      </c>
      <c r="P243" s="273">
        <v>8359</v>
      </c>
      <c r="Q243" s="273">
        <v>0</v>
      </c>
      <c r="R243" s="273">
        <v>14</v>
      </c>
      <c r="S243" s="273">
        <v>1601.08</v>
      </c>
      <c r="T243" s="273">
        <v>5.220850925625204</v>
      </c>
      <c r="U243" s="273">
        <v>0</v>
      </c>
      <c r="V243" s="273">
        <v>0</v>
      </c>
      <c r="W243" s="273">
        <v>2904</v>
      </c>
      <c r="X243" s="273">
        <v>396</v>
      </c>
      <c r="Y243" s="273">
        <v>39</v>
      </c>
      <c r="Z243" s="273">
        <v>0.8931908894769783</v>
      </c>
      <c r="AA243" s="273">
        <v>19</v>
      </c>
      <c r="AB243" s="273">
        <v>19</v>
      </c>
      <c r="AC243" s="273">
        <v>1.4705149608201322</v>
      </c>
      <c r="AD243" s="273">
        <v>651</v>
      </c>
      <c r="AE243" s="273">
        <v>35</v>
      </c>
      <c r="AF243" s="273">
        <v>14</v>
      </c>
      <c r="AG243" s="273">
        <v>2</v>
      </c>
      <c r="AH243" s="273">
        <v>702</v>
      </c>
      <c r="AI243" s="273">
        <v>1.6698224055934818</v>
      </c>
      <c r="AJ243" s="273">
        <v>3496</v>
      </c>
      <c r="AK243" s="273">
        <v>492</v>
      </c>
      <c r="AL243" s="273">
        <v>1.4889838228545709</v>
      </c>
      <c r="AM243" s="273">
        <v>1.4773102866493</v>
      </c>
      <c r="AN243" s="273">
        <v>0.05</v>
      </c>
      <c r="AO243" s="273">
        <v>0</v>
      </c>
      <c r="AP243" s="273">
        <f t="shared" si="2"/>
        <v>0.05</v>
      </c>
      <c r="AQ243" s="273">
        <v>-89808.90800933167</v>
      </c>
      <c r="AR243" s="273">
        <v>5884811.829829996</v>
      </c>
      <c r="AS243" s="273">
        <v>1</v>
      </c>
      <c r="AT243" s="273">
        <v>8359</v>
      </c>
      <c r="AU243" s="273">
        <v>0</v>
      </c>
      <c r="AV243" s="273">
        <v>0</v>
      </c>
      <c r="AW243" s="273">
        <v>0</v>
      </c>
      <c r="AX243" s="273">
        <v>0.9097833333333334</v>
      </c>
      <c r="AY243" s="273">
        <v>1601.08</v>
      </c>
      <c r="AZ243" s="273">
        <v>5.220850925625204</v>
      </c>
      <c r="BA243" s="273">
        <v>5367</v>
      </c>
      <c r="BB243" s="273">
        <v>0.6420624476612035</v>
      </c>
      <c r="BC243" s="273">
        <v>0</v>
      </c>
      <c r="BD243" s="273">
        <v>0</v>
      </c>
      <c r="BE243" s="273">
        <v>8674</v>
      </c>
      <c r="BF243" s="273">
        <v>8359</v>
      </c>
      <c r="BG243" s="273">
        <v>-0.03631542540926908</v>
      </c>
      <c r="BH243" s="273">
        <v>0</v>
      </c>
      <c r="BI243" s="273">
        <v>0</v>
      </c>
      <c r="BJ243" s="273">
        <v>0</v>
      </c>
      <c r="BK243" s="273">
        <v>1862064.6004106468</v>
      </c>
      <c r="BL243" s="273">
        <v>7255.32</v>
      </c>
    </row>
    <row r="244" spans="6:64" s="273" customFormat="1" ht="12.75">
      <c r="F244" s="273">
        <v>543</v>
      </c>
      <c r="G244" s="273" t="s">
        <v>180</v>
      </c>
      <c r="H244" s="273">
        <v>4125</v>
      </c>
      <c r="I244" s="273">
        <v>640</v>
      </c>
      <c r="J244" s="273">
        <v>3914</v>
      </c>
      <c r="K244" s="273">
        <v>1900</v>
      </c>
      <c r="L244" s="273">
        <v>31255</v>
      </c>
      <c r="M244" s="273">
        <v>3223</v>
      </c>
      <c r="N244" s="273">
        <v>1369</v>
      </c>
      <c r="O244" s="273">
        <v>377</v>
      </c>
      <c r="P244" s="273">
        <v>40349</v>
      </c>
      <c r="Q244" s="273">
        <v>92</v>
      </c>
      <c r="R244" s="273">
        <v>105</v>
      </c>
      <c r="S244" s="273">
        <v>361.84</v>
      </c>
      <c r="T244" s="273">
        <v>111.5106124253814</v>
      </c>
      <c r="U244" s="273">
        <v>0</v>
      </c>
      <c r="V244" s="273">
        <v>0</v>
      </c>
      <c r="W244" s="273">
        <v>18899</v>
      </c>
      <c r="X244" s="273">
        <v>272</v>
      </c>
      <c r="Y244" s="273">
        <v>172</v>
      </c>
      <c r="Z244" s="273">
        <v>1.0258763814069065</v>
      </c>
      <c r="AA244" s="273">
        <v>35</v>
      </c>
      <c r="AB244" s="273">
        <v>35</v>
      </c>
      <c r="AC244" s="273">
        <v>0.5611842066291892</v>
      </c>
      <c r="AD244" s="273">
        <v>839</v>
      </c>
      <c r="AE244" s="273">
        <v>264</v>
      </c>
      <c r="AF244" s="273">
        <v>61</v>
      </c>
      <c r="AG244" s="273">
        <v>8</v>
      </c>
      <c r="AH244" s="273">
        <v>1172</v>
      </c>
      <c r="AI244" s="273">
        <v>0.5775403518952811</v>
      </c>
      <c r="AJ244" s="273">
        <v>20068</v>
      </c>
      <c r="AK244" s="273">
        <v>898</v>
      </c>
      <c r="AL244" s="273">
        <v>0.47344392129161494</v>
      </c>
      <c r="AM244" s="273">
        <v>0.638644482222929</v>
      </c>
      <c r="AN244" s="273">
        <v>0</v>
      </c>
      <c r="AO244" s="273">
        <v>0</v>
      </c>
      <c r="AP244" s="273">
        <f t="shared" si="2"/>
        <v>0</v>
      </c>
      <c r="AQ244" s="273">
        <v>-528898.4591088146</v>
      </c>
      <c r="AR244" s="273">
        <v>-8951654.809279004</v>
      </c>
      <c r="AS244" s="273">
        <v>0</v>
      </c>
      <c r="AT244" s="273">
        <v>40349</v>
      </c>
      <c r="AU244" s="273">
        <v>0</v>
      </c>
      <c r="AV244" s="273">
        <v>0</v>
      </c>
      <c r="AW244" s="273">
        <v>0</v>
      </c>
      <c r="AX244" s="273">
        <v>0</v>
      </c>
      <c r="AY244" s="273">
        <v>361.84</v>
      </c>
      <c r="AZ244" s="273">
        <v>111.5106124253814</v>
      </c>
      <c r="BA244" s="273">
        <v>34240</v>
      </c>
      <c r="BB244" s="273">
        <v>0.848595999900865</v>
      </c>
      <c r="BC244" s="273">
        <v>0</v>
      </c>
      <c r="BD244" s="273">
        <v>0</v>
      </c>
      <c r="BE244" s="273">
        <v>39018</v>
      </c>
      <c r="BF244" s="273">
        <v>40349</v>
      </c>
      <c r="BG244" s="273">
        <v>0.03411246091547491</v>
      </c>
      <c r="BH244" s="273">
        <v>0</v>
      </c>
      <c r="BI244" s="273">
        <v>1</v>
      </c>
      <c r="BJ244" s="273">
        <v>2.4783761679347693E-05</v>
      </c>
      <c r="BK244" s="273">
        <v>5113248.756151769</v>
      </c>
      <c r="BL244" s="273">
        <v>5880.12</v>
      </c>
    </row>
    <row r="245" spans="6:64" s="273" customFormat="1" ht="12.75">
      <c r="F245" s="273">
        <v>545</v>
      </c>
      <c r="G245" s="273" t="s">
        <v>181</v>
      </c>
      <c r="H245" s="273">
        <v>591</v>
      </c>
      <c r="I245" s="273">
        <v>75</v>
      </c>
      <c r="J245" s="273">
        <v>516</v>
      </c>
      <c r="K245" s="273">
        <v>275</v>
      </c>
      <c r="L245" s="273">
        <v>6328</v>
      </c>
      <c r="M245" s="273">
        <v>1167</v>
      </c>
      <c r="N245" s="273">
        <v>888</v>
      </c>
      <c r="O245" s="273">
        <v>438</v>
      </c>
      <c r="P245" s="273">
        <v>9412</v>
      </c>
      <c r="Q245" s="273">
        <v>720</v>
      </c>
      <c r="R245" s="273">
        <v>107</v>
      </c>
      <c r="S245" s="273">
        <v>977.26</v>
      </c>
      <c r="T245" s="273">
        <v>9.631009148026115</v>
      </c>
      <c r="U245" s="273">
        <v>1</v>
      </c>
      <c r="V245" s="273">
        <v>2</v>
      </c>
      <c r="W245" s="273">
        <v>4237</v>
      </c>
      <c r="X245" s="273">
        <v>980</v>
      </c>
      <c r="Y245" s="273">
        <v>68</v>
      </c>
      <c r="Z245" s="273">
        <v>0.7907075069027488</v>
      </c>
      <c r="AA245" s="273">
        <v>6</v>
      </c>
      <c r="AB245" s="273">
        <v>6</v>
      </c>
      <c r="AC245" s="273">
        <v>0.41241979636842613</v>
      </c>
      <c r="AD245" s="273">
        <v>434</v>
      </c>
      <c r="AE245" s="273">
        <v>36</v>
      </c>
      <c r="AF245" s="273">
        <v>11</v>
      </c>
      <c r="AG245" s="273">
        <v>1</v>
      </c>
      <c r="AH245" s="273">
        <v>482</v>
      </c>
      <c r="AI245" s="273">
        <v>1.0182457754402683</v>
      </c>
      <c r="AJ245" s="273">
        <v>4545</v>
      </c>
      <c r="AK245" s="273">
        <v>149</v>
      </c>
      <c r="AL245" s="273">
        <v>0.34685557669029554</v>
      </c>
      <c r="AM245" s="273">
        <v>0.789230133364969</v>
      </c>
      <c r="AN245" s="273">
        <v>0</v>
      </c>
      <c r="AO245" s="273">
        <v>0</v>
      </c>
      <c r="AP245" s="273">
        <f t="shared" si="2"/>
        <v>0</v>
      </c>
      <c r="AQ245" s="273">
        <v>236161.79568575323</v>
      </c>
      <c r="AR245" s="273">
        <v>4206864.358170003</v>
      </c>
      <c r="AS245" s="273">
        <v>1</v>
      </c>
      <c r="AT245" s="273">
        <v>9412</v>
      </c>
      <c r="AU245" s="273">
        <v>1</v>
      </c>
      <c r="AV245" s="273">
        <v>99</v>
      </c>
      <c r="AW245" s="273">
        <v>0.010518487037824055</v>
      </c>
      <c r="AX245" s="273">
        <v>0.12376666666666666</v>
      </c>
      <c r="AY245" s="273">
        <v>977.26</v>
      </c>
      <c r="AZ245" s="273">
        <v>9.631009148026115</v>
      </c>
      <c r="BA245" s="273">
        <v>4976</v>
      </c>
      <c r="BB245" s="273">
        <v>0.5286867828304292</v>
      </c>
      <c r="BC245" s="273">
        <v>2</v>
      </c>
      <c r="BD245" s="273">
        <v>0</v>
      </c>
      <c r="BE245" s="273">
        <v>9505</v>
      </c>
      <c r="BF245" s="273">
        <v>9412</v>
      </c>
      <c r="BG245" s="273">
        <v>-0.009784324039978958</v>
      </c>
      <c r="BH245" s="273">
        <v>0</v>
      </c>
      <c r="BI245" s="273">
        <v>0</v>
      </c>
      <c r="BJ245" s="273">
        <v>0</v>
      </c>
      <c r="BK245" s="273">
        <v>1929363.9332649135</v>
      </c>
      <c r="BL245" s="273">
        <v>7655.54</v>
      </c>
    </row>
    <row r="246" spans="6:64" s="273" customFormat="1" ht="12.75">
      <c r="F246" s="273">
        <v>560</v>
      </c>
      <c r="G246" s="273" t="s">
        <v>182</v>
      </c>
      <c r="H246" s="273">
        <v>1291</v>
      </c>
      <c r="I246" s="273">
        <v>217</v>
      </c>
      <c r="J246" s="273">
        <v>1205</v>
      </c>
      <c r="K246" s="273">
        <v>601</v>
      </c>
      <c r="L246" s="273">
        <v>11871</v>
      </c>
      <c r="M246" s="273">
        <v>1748</v>
      </c>
      <c r="N246" s="273">
        <v>1058</v>
      </c>
      <c r="O246" s="273">
        <v>401</v>
      </c>
      <c r="P246" s="273">
        <v>16369</v>
      </c>
      <c r="Q246" s="273">
        <v>4</v>
      </c>
      <c r="R246" s="273">
        <v>42</v>
      </c>
      <c r="S246" s="273">
        <v>785.35</v>
      </c>
      <c r="T246" s="273">
        <v>20.842936270452665</v>
      </c>
      <c r="U246" s="273">
        <v>0</v>
      </c>
      <c r="V246" s="273">
        <v>0</v>
      </c>
      <c r="W246" s="273">
        <v>6607</v>
      </c>
      <c r="X246" s="273">
        <v>531</v>
      </c>
      <c r="Y246" s="273">
        <v>80</v>
      </c>
      <c r="Z246" s="273">
        <v>0.9534043389965161</v>
      </c>
      <c r="AA246" s="273">
        <v>41</v>
      </c>
      <c r="AB246" s="273">
        <v>41</v>
      </c>
      <c r="AC246" s="273">
        <v>1.6204359873358656</v>
      </c>
      <c r="AD246" s="273">
        <v>629</v>
      </c>
      <c r="AE246" s="273">
        <v>120</v>
      </c>
      <c r="AF246" s="273">
        <v>17</v>
      </c>
      <c r="AG246" s="273">
        <v>5</v>
      </c>
      <c r="AH246" s="273">
        <v>771</v>
      </c>
      <c r="AI246" s="273">
        <v>0.9365257578577679</v>
      </c>
      <c r="AJ246" s="273">
        <v>7608</v>
      </c>
      <c r="AK246" s="273">
        <v>715</v>
      </c>
      <c r="AL246" s="273">
        <v>0.9943329665179678</v>
      </c>
      <c r="AM246" s="273">
        <v>0.950407644737966</v>
      </c>
      <c r="AN246" s="273">
        <v>0</v>
      </c>
      <c r="AO246" s="273">
        <v>0</v>
      </c>
      <c r="AP246" s="273">
        <f t="shared" si="2"/>
        <v>0</v>
      </c>
      <c r="AQ246" s="273">
        <v>195649.91878824774</v>
      </c>
      <c r="AR246" s="273">
        <v>6817801.4109367</v>
      </c>
      <c r="AS246" s="273">
        <v>1</v>
      </c>
      <c r="AT246" s="273">
        <v>16369</v>
      </c>
      <c r="AU246" s="273">
        <v>0</v>
      </c>
      <c r="AV246" s="273">
        <v>0</v>
      </c>
      <c r="AW246" s="273">
        <v>0</v>
      </c>
      <c r="AX246" s="273">
        <v>0</v>
      </c>
      <c r="AY246" s="273">
        <v>785.35</v>
      </c>
      <c r="AZ246" s="273">
        <v>20.842936270452665</v>
      </c>
      <c r="BA246" s="273">
        <v>10704</v>
      </c>
      <c r="BB246" s="273">
        <v>0.6539189932188894</v>
      </c>
      <c r="BC246" s="273">
        <v>0</v>
      </c>
      <c r="BD246" s="273">
        <v>0</v>
      </c>
      <c r="BE246" s="273">
        <v>16276</v>
      </c>
      <c r="BF246" s="273">
        <v>16369</v>
      </c>
      <c r="BG246" s="273">
        <v>0.005713934627672647</v>
      </c>
      <c r="BH246" s="273">
        <v>0</v>
      </c>
      <c r="BI246" s="273">
        <v>3</v>
      </c>
      <c r="BJ246" s="273">
        <v>0.00018327326043130306</v>
      </c>
      <c r="BK246" s="273">
        <v>2742914.97443186</v>
      </c>
      <c r="BL246" s="273">
        <v>6319.83</v>
      </c>
    </row>
    <row r="247" spans="6:64" s="273" customFormat="1" ht="12.75">
      <c r="F247" s="273">
        <v>561</v>
      </c>
      <c r="G247" s="273" t="s">
        <v>183</v>
      </c>
      <c r="H247" s="273">
        <v>120</v>
      </c>
      <c r="I247" s="273">
        <v>22</v>
      </c>
      <c r="J247" s="273">
        <v>131</v>
      </c>
      <c r="K247" s="273">
        <v>52</v>
      </c>
      <c r="L247" s="273">
        <v>993</v>
      </c>
      <c r="M247" s="273">
        <v>143</v>
      </c>
      <c r="N247" s="273">
        <v>122</v>
      </c>
      <c r="O247" s="273">
        <v>44</v>
      </c>
      <c r="P247" s="273">
        <v>1422</v>
      </c>
      <c r="Q247" s="273">
        <v>0</v>
      </c>
      <c r="R247" s="273">
        <v>2</v>
      </c>
      <c r="S247" s="273">
        <v>117.62</v>
      </c>
      <c r="T247" s="273">
        <v>12.089780649549397</v>
      </c>
      <c r="U247" s="273">
        <v>0</v>
      </c>
      <c r="V247" s="273">
        <v>0</v>
      </c>
      <c r="W247" s="273">
        <v>594</v>
      </c>
      <c r="X247" s="273">
        <v>114</v>
      </c>
      <c r="Y247" s="273">
        <v>3</v>
      </c>
      <c r="Z247" s="273">
        <v>0.8436294670961172</v>
      </c>
      <c r="AA247" s="273">
        <v>0</v>
      </c>
      <c r="AB247" s="273">
        <v>2</v>
      </c>
      <c r="AC247" s="273">
        <v>0.9099144686872074</v>
      </c>
      <c r="AD247" s="273">
        <v>68</v>
      </c>
      <c r="AE247" s="273">
        <v>14</v>
      </c>
      <c r="AG247" s="273">
        <v>0</v>
      </c>
      <c r="AH247" s="273">
        <v>82</v>
      </c>
      <c r="AI247" s="273">
        <v>1.146573112430613</v>
      </c>
      <c r="AJ247" s="273">
        <v>657</v>
      </c>
      <c r="AK247" s="273">
        <v>45</v>
      </c>
      <c r="AL247" s="273">
        <v>0.7246752762974135</v>
      </c>
      <c r="AM247" s="273">
        <v>0.957016426769586</v>
      </c>
      <c r="AN247" s="273">
        <v>0</v>
      </c>
      <c r="AO247" s="273">
        <v>0</v>
      </c>
      <c r="AP247" s="273">
        <f t="shared" si="2"/>
        <v>0</v>
      </c>
      <c r="AQ247" s="273">
        <v>69611.57795016142</v>
      </c>
      <c r="AR247" s="273">
        <v>915112.0014842101</v>
      </c>
      <c r="AS247" s="273">
        <v>1</v>
      </c>
      <c r="AT247" s="273">
        <v>1422</v>
      </c>
      <c r="AU247" s="273">
        <v>0</v>
      </c>
      <c r="AV247" s="273">
        <v>0</v>
      </c>
      <c r="AW247" s="273">
        <v>0</v>
      </c>
      <c r="AX247" s="273">
        <v>0</v>
      </c>
      <c r="AY247" s="273">
        <v>117.62</v>
      </c>
      <c r="AZ247" s="273">
        <v>12.089780649549397</v>
      </c>
      <c r="BA247" s="273">
        <v>731</v>
      </c>
      <c r="BB247" s="273">
        <v>0.5140646976090014</v>
      </c>
      <c r="BC247" s="273">
        <v>0</v>
      </c>
      <c r="BD247" s="273">
        <v>0</v>
      </c>
      <c r="BE247" s="273">
        <v>1393</v>
      </c>
      <c r="BF247" s="273">
        <v>1422</v>
      </c>
      <c r="BG247" s="273">
        <v>0.0208183776022972</v>
      </c>
      <c r="BH247" s="273">
        <v>0</v>
      </c>
      <c r="BI247" s="273">
        <v>0</v>
      </c>
      <c r="BJ247" s="273">
        <v>0</v>
      </c>
      <c r="BK247" s="273">
        <v>283951.0141577077</v>
      </c>
      <c r="BL247" s="273">
        <v>6677.97</v>
      </c>
    </row>
    <row r="248" spans="6:64" s="273" customFormat="1" ht="12.75">
      <c r="F248" s="273">
        <v>562</v>
      </c>
      <c r="G248" s="273" t="s">
        <v>184</v>
      </c>
      <c r="H248" s="273">
        <v>692</v>
      </c>
      <c r="I248" s="273">
        <v>116</v>
      </c>
      <c r="J248" s="273">
        <v>588</v>
      </c>
      <c r="K248" s="273">
        <v>353</v>
      </c>
      <c r="L248" s="273">
        <v>6611</v>
      </c>
      <c r="M248" s="273">
        <v>1174</v>
      </c>
      <c r="N248" s="273">
        <v>797</v>
      </c>
      <c r="O248" s="273">
        <v>316</v>
      </c>
      <c r="P248" s="273">
        <v>9590</v>
      </c>
      <c r="Q248" s="273">
        <v>2</v>
      </c>
      <c r="R248" s="273">
        <v>7</v>
      </c>
      <c r="S248" s="273">
        <v>799.56</v>
      </c>
      <c r="T248" s="273">
        <v>11.994096753214269</v>
      </c>
      <c r="U248" s="273">
        <v>0</v>
      </c>
      <c r="V248" s="273">
        <v>0</v>
      </c>
      <c r="W248" s="273">
        <v>3685</v>
      </c>
      <c r="X248" s="273">
        <v>290</v>
      </c>
      <c r="Y248" s="273">
        <v>51</v>
      </c>
      <c r="Z248" s="273">
        <v>0.9533416855993521</v>
      </c>
      <c r="AA248" s="273">
        <v>33</v>
      </c>
      <c r="AB248" s="273">
        <v>33</v>
      </c>
      <c r="AC248" s="273">
        <v>2.226206796538889</v>
      </c>
      <c r="AD248" s="273">
        <v>480</v>
      </c>
      <c r="AE248" s="273">
        <v>73</v>
      </c>
      <c r="AF248" s="273">
        <v>22</v>
      </c>
      <c r="AG248" s="273">
        <v>7</v>
      </c>
      <c r="AH248" s="273">
        <v>582</v>
      </c>
      <c r="AI248" s="273">
        <v>1.2066793333248875</v>
      </c>
      <c r="AJ248" s="273">
        <v>4319</v>
      </c>
      <c r="AK248" s="273">
        <v>422</v>
      </c>
      <c r="AL248" s="273">
        <v>1.0337738625430943</v>
      </c>
      <c r="AM248" s="273">
        <v>0.996950263191134</v>
      </c>
      <c r="AN248" s="273">
        <v>0</v>
      </c>
      <c r="AO248" s="273">
        <v>0</v>
      </c>
      <c r="AP248" s="273">
        <f t="shared" si="2"/>
        <v>0</v>
      </c>
      <c r="AQ248" s="273">
        <v>-13207.785282626748</v>
      </c>
      <c r="AR248" s="273">
        <v>4770547.823384996</v>
      </c>
      <c r="AS248" s="273">
        <v>1</v>
      </c>
      <c r="AT248" s="273">
        <v>9590</v>
      </c>
      <c r="AU248" s="273">
        <v>0</v>
      </c>
      <c r="AV248" s="273">
        <v>0</v>
      </c>
      <c r="AW248" s="273">
        <v>0</v>
      </c>
      <c r="AX248" s="273">
        <v>0</v>
      </c>
      <c r="AY248" s="273">
        <v>799.56</v>
      </c>
      <c r="AZ248" s="273">
        <v>11.994096753214269</v>
      </c>
      <c r="BA248" s="273">
        <v>6522</v>
      </c>
      <c r="BB248" s="273">
        <v>0.6800834202294056</v>
      </c>
      <c r="BC248" s="273">
        <v>0</v>
      </c>
      <c r="BD248" s="273">
        <v>0</v>
      </c>
      <c r="BE248" s="273">
        <v>9632</v>
      </c>
      <c r="BF248" s="273">
        <v>9590</v>
      </c>
      <c r="BG248" s="273">
        <v>-0.00436046511627907</v>
      </c>
      <c r="BH248" s="273">
        <v>0</v>
      </c>
      <c r="BI248" s="273">
        <v>0</v>
      </c>
      <c r="BJ248" s="273">
        <v>0</v>
      </c>
      <c r="BK248" s="273">
        <v>1855690.9687031182</v>
      </c>
      <c r="BL248" s="273">
        <v>6672.98</v>
      </c>
    </row>
    <row r="249" spans="6:64" s="273" customFormat="1" ht="12.75">
      <c r="F249" s="273">
        <v>563</v>
      </c>
      <c r="G249" s="273" t="s">
        <v>185</v>
      </c>
      <c r="H249" s="273">
        <v>725</v>
      </c>
      <c r="I249" s="273">
        <v>106</v>
      </c>
      <c r="J249" s="273">
        <v>644</v>
      </c>
      <c r="K249" s="273">
        <v>304</v>
      </c>
      <c r="L249" s="273">
        <v>5615</v>
      </c>
      <c r="M249" s="273">
        <v>782</v>
      </c>
      <c r="N249" s="273">
        <v>569</v>
      </c>
      <c r="O249" s="273">
        <v>225</v>
      </c>
      <c r="P249" s="273">
        <v>7916</v>
      </c>
      <c r="Q249" s="273">
        <v>4</v>
      </c>
      <c r="R249" s="273">
        <v>7</v>
      </c>
      <c r="S249" s="273">
        <v>587.6</v>
      </c>
      <c r="T249" s="273">
        <v>13.471749489448603</v>
      </c>
      <c r="U249" s="273">
        <v>0</v>
      </c>
      <c r="V249" s="273">
        <v>0</v>
      </c>
      <c r="W249" s="273">
        <v>2851</v>
      </c>
      <c r="X249" s="273">
        <v>239</v>
      </c>
      <c r="Y249" s="273">
        <v>33</v>
      </c>
      <c r="Z249" s="273">
        <v>0.950328888984987</v>
      </c>
      <c r="AA249" s="273">
        <v>8</v>
      </c>
      <c r="AB249" s="273">
        <v>8</v>
      </c>
      <c r="AC249" s="273">
        <v>0.6538142367221874</v>
      </c>
      <c r="AD249" s="273">
        <v>520</v>
      </c>
      <c r="AE249" s="273">
        <v>64</v>
      </c>
      <c r="AF249" s="273">
        <v>17</v>
      </c>
      <c r="AG249" s="273">
        <v>4</v>
      </c>
      <c r="AH249" s="273">
        <v>605</v>
      </c>
      <c r="AI249" s="273">
        <v>1.5196272975313672</v>
      </c>
      <c r="AJ249" s="273">
        <v>3343</v>
      </c>
      <c r="AK249" s="273">
        <v>358</v>
      </c>
      <c r="AL249" s="273">
        <v>1.133034021582806</v>
      </c>
      <c r="AM249" s="273">
        <v>1.38179827147623</v>
      </c>
      <c r="AN249" s="273">
        <v>0</v>
      </c>
      <c r="AO249" s="273">
        <v>0</v>
      </c>
      <c r="AP249" s="273">
        <f t="shared" si="2"/>
        <v>0</v>
      </c>
      <c r="AQ249" s="273">
        <v>-140909.5184260942</v>
      </c>
      <c r="AR249" s="273">
        <v>4813515.705557143</v>
      </c>
      <c r="AS249" s="273">
        <v>0</v>
      </c>
      <c r="AT249" s="273">
        <v>7916</v>
      </c>
      <c r="AU249" s="273">
        <v>0</v>
      </c>
      <c r="AV249" s="273">
        <v>0</v>
      </c>
      <c r="AW249" s="273">
        <v>0</v>
      </c>
      <c r="AX249" s="273">
        <v>0</v>
      </c>
      <c r="AY249" s="273">
        <v>587.6</v>
      </c>
      <c r="AZ249" s="273">
        <v>13.471749489448603</v>
      </c>
      <c r="BA249" s="273">
        <v>5664</v>
      </c>
      <c r="BB249" s="273">
        <v>0.7155128852956039</v>
      </c>
      <c r="BC249" s="273">
        <v>0</v>
      </c>
      <c r="BD249" s="273">
        <v>0</v>
      </c>
      <c r="BE249" s="273">
        <v>8047</v>
      </c>
      <c r="BF249" s="273">
        <v>7916</v>
      </c>
      <c r="BG249" s="273">
        <v>-0.01627935876724245</v>
      </c>
      <c r="BH249" s="273">
        <v>0</v>
      </c>
      <c r="BI249" s="273">
        <v>2</v>
      </c>
      <c r="BJ249" s="273">
        <v>0.00025265285497726126</v>
      </c>
      <c r="BK249" s="273">
        <v>1309233.8624880172</v>
      </c>
      <c r="BL249" s="273">
        <v>6600.05</v>
      </c>
    </row>
    <row r="250" spans="6:64" s="273" customFormat="1" ht="12.75">
      <c r="F250" s="273">
        <v>564</v>
      </c>
      <c r="G250" s="273" t="s">
        <v>186</v>
      </c>
      <c r="H250" s="273">
        <v>18698</v>
      </c>
      <c r="I250" s="273">
        <v>2513</v>
      </c>
      <c r="J250" s="273">
        <v>13659</v>
      </c>
      <c r="K250" s="273">
        <v>6412</v>
      </c>
      <c r="L250" s="273">
        <v>145568</v>
      </c>
      <c r="M250" s="273">
        <v>13514</v>
      </c>
      <c r="N250" s="273">
        <v>7731</v>
      </c>
      <c r="O250" s="273">
        <v>2603</v>
      </c>
      <c r="P250" s="273">
        <v>188114</v>
      </c>
      <c r="Q250" s="273">
        <v>54</v>
      </c>
      <c r="R250" s="273">
        <v>565</v>
      </c>
      <c r="S250" s="273">
        <v>3030.83</v>
      </c>
      <c r="T250" s="273">
        <v>62.066826578857935</v>
      </c>
      <c r="U250" s="273">
        <v>0</v>
      </c>
      <c r="V250" s="273">
        <v>0</v>
      </c>
      <c r="W250" s="273">
        <v>76962</v>
      </c>
      <c r="X250" s="273">
        <v>761</v>
      </c>
      <c r="Y250" s="273">
        <v>918</v>
      </c>
      <c r="Z250" s="273">
        <v>1.027638529112922</v>
      </c>
      <c r="AA250" s="273">
        <v>185</v>
      </c>
      <c r="AB250" s="273">
        <v>185</v>
      </c>
      <c r="AC250" s="273">
        <v>0.6362397250538069</v>
      </c>
      <c r="AD250" s="273">
        <v>7305</v>
      </c>
      <c r="AE250" s="273">
        <v>1233</v>
      </c>
      <c r="AF250" s="273">
        <v>623</v>
      </c>
      <c r="AG250" s="273">
        <v>59</v>
      </c>
      <c r="AH250" s="273">
        <v>9220</v>
      </c>
      <c r="AI250" s="273">
        <v>0.9745346831319319</v>
      </c>
      <c r="AJ250" s="273">
        <v>89126</v>
      </c>
      <c r="AK250" s="273">
        <v>10895</v>
      </c>
      <c r="AL250" s="273">
        <v>1.2933590890963431</v>
      </c>
      <c r="AM250" s="273">
        <v>1.090331383777735</v>
      </c>
      <c r="AN250" s="273">
        <v>0</v>
      </c>
      <c r="AO250" s="273">
        <v>0</v>
      </c>
      <c r="AP250" s="273">
        <f t="shared" si="2"/>
        <v>0</v>
      </c>
      <c r="AQ250" s="273">
        <v>-1916537.577849215</v>
      </c>
      <c r="AR250" s="273">
        <v>-14053062.359935412</v>
      </c>
      <c r="AS250" s="273">
        <v>1</v>
      </c>
      <c r="AT250" s="273">
        <v>188114</v>
      </c>
      <c r="AU250" s="273">
        <v>0</v>
      </c>
      <c r="AV250" s="273">
        <v>0</v>
      </c>
      <c r="AW250" s="273">
        <v>0</v>
      </c>
      <c r="AX250" s="273">
        <v>0</v>
      </c>
      <c r="AY250" s="273">
        <v>3030.83</v>
      </c>
      <c r="AZ250" s="273">
        <v>62.066826578857935</v>
      </c>
      <c r="BA250" s="273">
        <v>179512</v>
      </c>
      <c r="BB250" s="273">
        <v>0.9542724092837322</v>
      </c>
      <c r="BC250" s="273">
        <v>0</v>
      </c>
      <c r="BD250" s="273">
        <v>0</v>
      </c>
      <c r="BE250" s="273">
        <v>179901</v>
      </c>
      <c r="BF250" s="273">
        <v>188114</v>
      </c>
      <c r="BG250" s="273">
        <v>0.045652886865553834</v>
      </c>
      <c r="BH250" s="273">
        <v>0</v>
      </c>
      <c r="BI250" s="273">
        <v>93</v>
      </c>
      <c r="BJ250" s="273">
        <v>0.0004943810667999192</v>
      </c>
      <c r="BK250" s="273">
        <v>28120149.96582929</v>
      </c>
      <c r="BL250" s="273">
        <v>5880.05</v>
      </c>
    </row>
    <row r="251" spans="6:64" s="273" customFormat="1" ht="12.75">
      <c r="F251" s="273">
        <v>309</v>
      </c>
      <c r="G251" s="273" t="s">
        <v>187</v>
      </c>
      <c r="H251" s="273">
        <v>488</v>
      </c>
      <c r="I251" s="273">
        <v>71</v>
      </c>
      <c r="J251" s="273">
        <v>380</v>
      </c>
      <c r="K251" s="273">
        <v>215</v>
      </c>
      <c r="L251" s="273">
        <v>5102</v>
      </c>
      <c r="M251" s="273">
        <v>948</v>
      </c>
      <c r="N251" s="273">
        <v>620</v>
      </c>
      <c r="O251" s="273">
        <v>219</v>
      </c>
      <c r="P251" s="273">
        <v>7377</v>
      </c>
      <c r="Q251" s="273">
        <v>0</v>
      </c>
      <c r="R251" s="273">
        <v>23</v>
      </c>
      <c r="S251" s="273">
        <v>445.84</v>
      </c>
      <c r="T251" s="273">
        <v>16.546294634846582</v>
      </c>
      <c r="U251" s="273">
        <v>0</v>
      </c>
      <c r="V251" s="273">
        <v>0</v>
      </c>
      <c r="W251" s="273">
        <v>2442</v>
      </c>
      <c r="X251" s="273">
        <v>152</v>
      </c>
      <c r="Y251" s="273">
        <v>39</v>
      </c>
      <c r="Z251" s="273">
        <v>0.9683885417814175</v>
      </c>
      <c r="AA251" s="273">
        <v>24</v>
      </c>
      <c r="AB251" s="273">
        <v>24</v>
      </c>
      <c r="AC251" s="273">
        <v>2.1047553875123364</v>
      </c>
      <c r="AD251" s="273">
        <v>508</v>
      </c>
      <c r="AE251" s="273">
        <v>31</v>
      </c>
      <c r="AF251" s="273">
        <v>7</v>
      </c>
      <c r="AG251" s="273">
        <v>0</v>
      </c>
      <c r="AH251" s="273">
        <v>546</v>
      </c>
      <c r="AI251" s="273">
        <v>1.4716358414063442</v>
      </c>
      <c r="AJ251" s="273">
        <v>3112</v>
      </c>
      <c r="AK251" s="273">
        <v>455</v>
      </c>
      <c r="AL251" s="273">
        <v>1.5469209063122484</v>
      </c>
      <c r="AM251" s="273">
        <v>1.48035658705689</v>
      </c>
      <c r="AN251" s="273">
        <v>0</v>
      </c>
      <c r="AO251" s="273">
        <v>0</v>
      </c>
      <c r="AP251" s="273">
        <f t="shared" si="2"/>
        <v>0</v>
      </c>
      <c r="AQ251" s="273">
        <v>145432.3681433089</v>
      </c>
      <c r="AR251" s="273">
        <v>4427387.978424385</v>
      </c>
      <c r="AS251" s="273">
        <v>0</v>
      </c>
      <c r="AT251" s="273">
        <v>7377</v>
      </c>
      <c r="AU251" s="273">
        <v>0</v>
      </c>
      <c r="AV251" s="273">
        <v>0</v>
      </c>
      <c r="AW251" s="273">
        <v>0</v>
      </c>
      <c r="AX251" s="273">
        <v>0.0194</v>
      </c>
      <c r="AY251" s="273">
        <v>445.84</v>
      </c>
      <c r="AZ251" s="273">
        <v>16.546294634846582</v>
      </c>
      <c r="BA251" s="273">
        <v>4960</v>
      </c>
      <c r="BB251" s="273">
        <v>0.6723600379558086</v>
      </c>
      <c r="BC251" s="273">
        <v>0</v>
      </c>
      <c r="BD251" s="273">
        <v>0</v>
      </c>
      <c r="BE251" s="273">
        <v>7551</v>
      </c>
      <c r="BF251" s="273">
        <v>7377</v>
      </c>
      <c r="BG251" s="273">
        <v>-0.023043305522447356</v>
      </c>
      <c r="BH251" s="273">
        <v>0</v>
      </c>
      <c r="BI251" s="273">
        <v>0</v>
      </c>
      <c r="BJ251" s="273">
        <v>0</v>
      </c>
      <c r="BK251" s="273">
        <v>1243470.1011418125</v>
      </c>
      <c r="BL251" s="273">
        <v>6493.19</v>
      </c>
    </row>
    <row r="252" spans="6:64" s="273" customFormat="1" ht="12.75">
      <c r="F252" s="273">
        <v>576</v>
      </c>
      <c r="G252" s="273" t="s">
        <v>188</v>
      </c>
      <c r="H252" s="273">
        <v>164</v>
      </c>
      <c r="I252" s="273">
        <v>21</v>
      </c>
      <c r="J252" s="273">
        <v>187</v>
      </c>
      <c r="K252" s="273">
        <v>110</v>
      </c>
      <c r="L252" s="273">
        <v>2188</v>
      </c>
      <c r="M252" s="273">
        <v>530</v>
      </c>
      <c r="N252" s="273">
        <v>360</v>
      </c>
      <c r="O252" s="273">
        <v>127</v>
      </c>
      <c r="P252" s="273">
        <v>3369</v>
      </c>
      <c r="Q252" s="273">
        <v>0</v>
      </c>
      <c r="R252" s="273">
        <v>2</v>
      </c>
      <c r="S252" s="273">
        <v>523.19</v>
      </c>
      <c r="T252" s="273">
        <v>6.439343259618876</v>
      </c>
      <c r="U252" s="273">
        <v>0</v>
      </c>
      <c r="V252" s="273">
        <v>0</v>
      </c>
      <c r="W252" s="273">
        <v>1184</v>
      </c>
      <c r="X252" s="273">
        <v>133</v>
      </c>
      <c r="Y252" s="273">
        <v>23</v>
      </c>
      <c r="Z252" s="273">
        <v>0.9121394072465795</v>
      </c>
      <c r="AA252" s="273">
        <v>0</v>
      </c>
      <c r="AB252" s="273">
        <v>2</v>
      </c>
      <c r="AC252" s="273">
        <v>0.38406006959727185</v>
      </c>
      <c r="AD252" s="273">
        <v>229</v>
      </c>
      <c r="AE252" s="273">
        <v>17</v>
      </c>
      <c r="AF252" s="273">
        <v>4</v>
      </c>
      <c r="AG252" s="273">
        <v>0</v>
      </c>
      <c r="AH252" s="273">
        <v>250</v>
      </c>
      <c r="AI252" s="273">
        <v>1.4754567884697745</v>
      </c>
      <c r="AJ252" s="273">
        <v>1354</v>
      </c>
      <c r="AK252" s="273">
        <v>130</v>
      </c>
      <c r="AL252" s="273">
        <v>1.0158298924759903</v>
      </c>
      <c r="AM252" s="273">
        <v>1.31090286537249</v>
      </c>
      <c r="AN252" s="273">
        <v>0</v>
      </c>
      <c r="AO252" s="273">
        <v>0</v>
      </c>
      <c r="AP252" s="273">
        <f t="shared" si="2"/>
        <v>0</v>
      </c>
      <c r="AQ252" s="273">
        <v>31367.59674635902</v>
      </c>
      <c r="AR252" s="273">
        <v>2239979.0482987347</v>
      </c>
      <c r="AS252" s="273">
        <v>1</v>
      </c>
      <c r="AT252" s="273">
        <v>3369</v>
      </c>
      <c r="AU252" s="273">
        <v>0</v>
      </c>
      <c r="AV252" s="273">
        <v>0</v>
      </c>
      <c r="AW252" s="273">
        <v>0</v>
      </c>
      <c r="AX252" s="273">
        <v>0.3509333333333333</v>
      </c>
      <c r="AY252" s="273">
        <v>523.19</v>
      </c>
      <c r="AZ252" s="273">
        <v>6.439343259618876</v>
      </c>
      <c r="BA252" s="273">
        <v>1667</v>
      </c>
      <c r="BB252" s="273">
        <v>0.4948055802908875</v>
      </c>
      <c r="BC252" s="273">
        <v>0</v>
      </c>
      <c r="BD252" s="273">
        <v>0</v>
      </c>
      <c r="BE252" s="273">
        <v>3513</v>
      </c>
      <c r="BF252" s="273">
        <v>3369</v>
      </c>
      <c r="BG252" s="273">
        <v>-0.04099060631938514</v>
      </c>
      <c r="BH252" s="273">
        <v>0</v>
      </c>
      <c r="BI252" s="273">
        <v>0</v>
      </c>
      <c r="BJ252" s="273">
        <v>0</v>
      </c>
      <c r="BK252" s="273">
        <v>729714.6239042574</v>
      </c>
      <c r="BL252" s="273">
        <v>7089.72</v>
      </c>
    </row>
    <row r="253" spans="6:64" s="273" customFormat="1" ht="12.75">
      <c r="F253" s="273">
        <v>577</v>
      </c>
      <c r="G253" s="273" t="s">
        <v>189</v>
      </c>
      <c r="H253" s="273">
        <v>924</v>
      </c>
      <c r="I253" s="273">
        <v>143</v>
      </c>
      <c r="J253" s="273">
        <v>783</v>
      </c>
      <c r="K253" s="273">
        <v>390</v>
      </c>
      <c r="L253" s="273">
        <v>7774</v>
      </c>
      <c r="M253" s="273">
        <v>994</v>
      </c>
      <c r="N253" s="273">
        <v>561</v>
      </c>
      <c r="O253" s="273">
        <v>218</v>
      </c>
      <c r="P253" s="273">
        <v>10471</v>
      </c>
      <c r="Q253" s="273">
        <v>10</v>
      </c>
      <c r="R253" s="273">
        <v>13</v>
      </c>
      <c r="S253" s="273">
        <v>238.36</v>
      </c>
      <c r="T253" s="273">
        <v>43.92935056217486</v>
      </c>
      <c r="U253" s="273">
        <v>0</v>
      </c>
      <c r="V253" s="273">
        <v>0</v>
      </c>
      <c r="W253" s="273">
        <v>4837</v>
      </c>
      <c r="X253" s="273">
        <v>204</v>
      </c>
      <c r="Y253" s="273">
        <v>29</v>
      </c>
      <c r="Z253" s="273">
        <v>0.9999517258463438</v>
      </c>
      <c r="AA253" s="273">
        <v>17</v>
      </c>
      <c r="AB253" s="273">
        <v>17</v>
      </c>
      <c r="AC253" s="273">
        <v>1.050342487157127</v>
      </c>
      <c r="AD253" s="273">
        <v>370</v>
      </c>
      <c r="AE253" s="273">
        <v>87</v>
      </c>
      <c r="AF253" s="273">
        <v>21</v>
      </c>
      <c r="AG253" s="273">
        <v>4</v>
      </c>
      <c r="AH253" s="273">
        <v>482</v>
      </c>
      <c r="AI253" s="273">
        <v>0.9152639899191868</v>
      </c>
      <c r="AJ253" s="273">
        <v>5155</v>
      </c>
      <c r="AK253" s="273">
        <v>275</v>
      </c>
      <c r="AL253" s="273">
        <v>0.5644173102491009</v>
      </c>
      <c r="AM253" s="273">
        <v>0.810407518491393</v>
      </c>
      <c r="AN253" s="273">
        <v>0</v>
      </c>
      <c r="AO253" s="273">
        <v>0</v>
      </c>
      <c r="AP253" s="273">
        <f t="shared" si="2"/>
        <v>0</v>
      </c>
      <c r="AQ253" s="273">
        <v>95634.59417682327</v>
      </c>
      <c r="AR253" s="273">
        <v>-532992.0566286166</v>
      </c>
      <c r="AS253" s="273">
        <v>1</v>
      </c>
      <c r="AT253" s="273">
        <v>10471</v>
      </c>
      <c r="AU253" s="273">
        <v>0</v>
      </c>
      <c r="AV253" s="273">
        <v>0</v>
      </c>
      <c r="AW253" s="273">
        <v>0</v>
      </c>
      <c r="AX253" s="273">
        <v>0</v>
      </c>
      <c r="AY253" s="273">
        <v>238.36</v>
      </c>
      <c r="AZ253" s="273">
        <v>43.92935056217486</v>
      </c>
      <c r="BA253" s="273">
        <v>8114</v>
      </c>
      <c r="BB253" s="273">
        <v>0.7749021105911565</v>
      </c>
      <c r="BC253" s="273">
        <v>0</v>
      </c>
      <c r="BD253" s="273">
        <v>0</v>
      </c>
      <c r="BE253" s="273">
        <v>10145</v>
      </c>
      <c r="BF253" s="273">
        <v>10471</v>
      </c>
      <c r="BG253" s="273">
        <v>0.03213405618531296</v>
      </c>
      <c r="BH253" s="273">
        <v>0</v>
      </c>
      <c r="BI253" s="273">
        <v>0</v>
      </c>
      <c r="BJ253" s="273">
        <v>0</v>
      </c>
      <c r="BK253" s="273">
        <v>1349008.1396890457</v>
      </c>
      <c r="BL253" s="273">
        <v>5865.82</v>
      </c>
    </row>
    <row r="254" spans="6:64" s="273" customFormat="1" ht="12.75">
      <c r="F254" s="273">
        <v>578</v>
      </c>
      <c r="G254" s="273" t="s">
        <v>190</v>
      </c>
      <c r="H254" s="273">
        <v>248</v>
      </c>
      <c r="I254" s="273">
        <v>42</v>
      </c>
      <c r="J254" s="273">
        <v>218</v>
      </c>
      <c r="K254" s="273">
        <v>145</v>
      </c>
      <c r="L254" s="273">
        <v>2630</v>
      </c>
      <c r="M254" s="273">
        <v>489</v>
      </c>
      <c r="N254" s="273">
        <v>328</v>
      </c>
      <c r="O254" s="273">
        <v>112</v>
      </c>
      <c r="P254" s="273">
        <v>3807</v>
      </c>
      <c r="Q254" s="273">
        <v>0</v>
      </c>
      <c r="R254" s="273">
        <v>3</v>
      </c>
      <c r="S254" s="273">
        <v>918.87</v>
      </c>
      <c r="T254" s="273">
        <v>4.143132325573802</v>
      </c>
      <c r="U254" s="273">
        <v>0</v>
      </c>
      <c r="V254" s="273">
        <v>0</v>
      </c>
      <c r="W254" s="273">
        <v>1396</v>
      </c>
      <c r="X254" s="273">
        <v>135</v>
      </c>
      <c r="Y254" s="273">
        <v>15</v>
      </c>
      <c r="Z254" s="273">
        <v>0.9376752021424595</v>
      </c>
      <c r="AA254" s="273">
        <v>12</v>
      </c>
      <c r="AB254" s="273">
        <v>12</v>
      </c>
      <c r="AC254" s="273">
        <v>2.039240936916011</v>
      </c>
      <c r="AD254" s="273">
        <v>294</v>
      </c>
      <c r="AE254" s="273">
        <v>27</v>
      </c>
      <c r="AF254" s="273">
        <v>13</v>
      </c>
      <c r="AG254" s="273">
        <v>0</v>
      </c>
      <c r="AH254" s="273">
        <v>334</v>
      </c>
      <c r="AI254" s="273">
        <v>1.7444201201980143</v>
      </c>
      <c r="AJ254" s="273">
        <v>1600</v>
      </c>
      <c r="AK254" s="273">
        <v>76</v>
      </c>
      <c r="AL254" s="273">
        <v>0.5025623041122562</v>
      </c>
      <c r="AM254" s="273">
        <v>1.54410443689433</v>
      </c>
      <c r="AN254" s="273">
        <v>0</v>
      </c>
      <c r="AO254" s="273">
        <v>0</v>
      </c>
      <c r="AP254" s="273">
        <f t="shared" si="2"/>
        <v>0</v>
      </c>
      <c r="AQ254" s="273">
        <v>99190.47213805467</v>
      </c>
      <c r="AR254" s="273">
        <v>3438214.6551512186</v>
      </c>
      <c r="AS254" s="273">
        <v>1</v>
      </c>
      <c r="AT254" s="273">
        <v>3807</v>
      </c>
      <c r="AU254" s="273">
        <v>0</v>
      </c>
      <c r="AV254" s="273">
        <v>0</v>
      </c>
      <c r="AW254" s="273">
        <v>0</v>
      </c>
      <c r="AX254" s="273">
        <v>0.06771666666666666</v>
      </c>
      <c r="AY254" s="273">
        <v>918.87</v>
      </c>
      <c r="AZ254" s="273">
        <v>4.143132325573802</v>
      </c>
      <c r="BA254" s="273">
        <v>2264</v>
      </c>
      <c r="BB254" s="273">
        <v>0.5946939847649068</v>
      </c>
      <c r="BC254" s="273">
        <v>0</v>
      </c>
      <c r="BD254" s="273">
        <v>0</v>
      </c>
      <c r="BE254" s="273">
        <v>3998</v>
      </c>
      <c r="BF254" s="273">
        <v>3807</v>
      </c>
      <c r="BG254" s="273">
        <v>-0.04777388694347173</v>
      </c>
      <c r="BH254" s="273">
        <v>0</v>
      </c>
      <c r="BI254" s="273">
        <v>0</v>
      </c>
      <c r="BJ254" s="273">
        <v>0</v>
      </c>
      <c r="BK254" s="273">
        <v>905629.0317344764</v>
      </c>
      <c r="BL254" s="273">
        <v>7380.27</v>
      </c>
    </row>
    <row r="255" spans="6:64" s="273" customFormat="1" ht="12.75">
      <c r="F255" s="273">
        <v>445</v>
      </c>
      <c r="G255" s="273" t="s">
        <v>353</v>
      </c>
      <c r="H255" s="273">
        <v>1171</v>
      </c>
      <c r="I255" s="273">
        <v>185</v>
      </c>
      <c r="J255" s="273">
        <v>1074</v>
      </c>
      <c r="K255" s="273">
        <v>606</v>
      </c>
      <c r="L255" s="273">
        <v>11038</v>
      </c>
      <c r="M255" s="273">
        <v>1779</v>
      </c>
      <c r="N255" s="273">
        <v>1069</v>
      </c>
      <c r="O255" s="273">
        <v>448</v>
      </c>
      <c r="P255" s="273">
        <v>15505</v>
      </c>
      <c r="Q255" s="273">
        <v>1080</v>
      </c>
      <c r="R255" s="273">
        <v>30</v>
      </c>
      <c r="S255" s="273">
        <v>881.8</v>
      </c>
      <c r="T255" s="273">
        <v>17.583352234066684</v>
      </c>
      <c r="U255" s="273">
        <v>2</v>
      </c>
      <c r="V255" s="273">
        <v>3</v>
      </c>
      <c r="W255" s="273">
        <v>6878</v>
      </c>
      <c r="X255" s="273">
        <v>272</v>
      </c>
      <c r="Y255" s="273">
        <v>90</v>
      </c>
      <c r="Z255" s="273">
        <v>0.9952649522444759</v>
      </c>
      <c r="AA255" s="273">
        <v>11</v>
      </c>
      <c r="AB255" s="273">
        <v>11</v>
      </c>
      <c r="AC255" s="273">
        <v>0.45897717249936465</v>
      </c>
      <c r="AD255" s="273">
        <v>503</v>
      </c>
      <c r="AE255" s="273">
        <v>136</v>
      </c>
      <c r="AF255" s="273">
        <v>18</v>
      </c>
      <c r="AG255" s="273">
        <v>12</v>
      </c>
      <c r="AH255" s="273">
        <v>669</v>
      </c>
      <c r="AI255" s="273">
        <v>0.857910225789687</v>
      </c>
      <c r="AJ255" s="273">
        <v>7379</v>
      </c>
      <c r="AK255" s="273">
        <v>386</v>
      </c>
      <c r="AL255" s="273">
        <v>0.5534598166556042</v>
      </c>
      <c r="AM255" s="273">
        <v>0.791105962807794</v>
      </c>
      <c r="AN255" s="273">
        <v>0</v>
      </c>
      <c r="AO255" s="273">
        <v>0</v>
      </c>
      <c r="AP255" s="273">
        <f t="shared" si="2"/>
        <v>0</v>
      </c>
      <c r="AQ255" s="273">
        <v>391772.4688114561</v>
      </c>
      <c r="AR255" s="273">
        <v>-1113479.9903366773</v>
      </c>
      <c r="AS255" s="273">
        <v>1</v>
      </c>
      <c r="AT255" s="273">
        <v>15505</v>
      </c>
      <c r="AU255" s="273">
        <v>2</v>
      </c>
      <c r="AV255" s="273">
        <v>0</v>
      </c>
      <c r="AW255" s="273">
        <v>0</v>
      </c>
      <c r="AX255" s="273">
        <v>0</v>
      </c>
      <c r="AY255" s="273">
        <v>881.8</v>
      </c>
      <c r="AZ255" s="273">
        <v>17.583352234066684</v>
      </c>
      <c r="BA255" s="273">
        <v>10334</v>
      </c>
      <c r="BB255" s="273">
        <v>0.6664946791357627</v>
      </c>
      <c r="BC255" s="273">
        <v>3</v>
      </c>
      <c r="BD255" s="273">
        <v>0</v>
      </c>
      <c r="BE255" s="273">
        <v>15405</v>
      </c>
      <c r="BF255" s="273">
        <v>15505</v>
      </c>
      <c r="BG255" s="273">
        <v>0.006491398896462187</v>
      </c>
      <c r="BH255" s="273">
        <v>0</v>
      </c>
      <c r="BI255" s="273">
        <v>0</v>
      </c>
      <c r="BJ255" s="273">
        <v>0</v>
      </c>
      <c r="BK255" s="273">
        <v>2426747.732907788</v>
      </c>
      <c r="BL255" s="273">
        <v>7570.96</v>
      </c>
    </row>
    <row r="256" spans="6:64" s="273" customFormat="1" ht="12.75">
      <c r="F256" s="273">
        <v>580</v>
      </c>
      <c r="G256" s="273" t="s">
        <v>191</v>
      </c>
      <c r="H256" s="273">
        <v>240</v>
      </c>
      <c r="I256" s="273">
        <v>34</v>
      </c>
      <c r="J256" s="273">
        <v>236</v>
      </c>
      <c r="K256" s="273">
        <v>181</v>
      </c>
      <c r="L256" s="273">
        <v>3722</v>
      </c>
      <c r="M256" s="273">
        <v>870</v>
      </c>
      <c r="N256" s="273">
        <v>602</v>
      </c>
      <c r="O256" s="273">
        <v>230</v>
      </c>
      <c r="P256" s="273">
        <v>5664</v>
      </c>
      <c r="Q256" s="273">
        <v>2</v>
      </c>
      <c r="R256" s="273">
        <v>12</v>
      </c>
      <c r="S256" s="273">
        <v>592.93</v>
      </c>
      <c r="T256" s="273">
        <v>9.552561010574605</v>
      </c>
      <c r="U256" s="273">
        <v>1</v>
      </c>
      <c r="V256" s="273">
        <v>0</v>
      </c>
      <c r="W256" s="273">
        <v>2047</v>
      </c>
      <c r="X256" s="273">
        <v>399</v>
      </c>
      <c r="Y256" s="273">
        <v>33</v>
      </c>
      <c r="Z256" s="273">
        <v>0.8288472306253527</v>
      </c>
      <c r="AA256" s="273">
        <v>4</v>
      </c>
      <c r="AB256" s="273">
        <v>2</v>
      </c>
      <c r="AC256" s="273">
        <v>0.22844250961744506</v>
      </c>
      <c r="AD256" s="273">
        <v>389</v>
      </c>
      <c r="AE256" s="273">
        <v>16</v>
      </c>
      <c r="AF256" s="273">
        <v>5</v>
      </c>
      <c r="AG256" s="273">
        <v>4</v>
      </c>
      <c r="AH256" s="273">
        <v>414</v>
      </c>
      <c r="AI256" s="273">
        <v>1.4533311885782723</v>
      </c>
      <c r="AJ256" s="273">
        <v>2403</v>
      </c>
      <c r="AK256" s="273">
        <v>277</v>
      </c>
      <c r="AL256" s="273">
        <v>1.219613713026217</v>
      </c>
      <c r="AM256" s="273">
        <v>1.23052536012425</v>
      </c>
      <c r="AN256" s="273">
        <v>0</v>
      </c>
      <c r="AO256" s="273">
        <v>0</v>
      </c>
      <c r="AP256" s="273">
        <f t="shared" si="2"/>
        <v>0</v>
      </c>
      <c r="AQ256" s="273">
        <v>111271.02164894715</v>
      </c>
      <c r="AR256" s="273">
        <v>4013952.044935132</v>
      </c>
      <c r="AS256" s="273">
        <v>1</v>
      </c>
      <c r="AT256" s="273">
        <v>5664</v>
      </c>
      <c r="AU256" s="273">
        <v>1</v>
      </c>
      <c r="AV256" s="273">
        <v>254</v>
      </c>
      <c r="AW256" s="273">
        <v>0.044844632768361585</v>
      </c>
      <c r="AX256" s="273">
        <v>0.4963166666666667</v>
      </c>
      <c r="AY256" s="273">
        <v>592.93</v>
      </c>
      <c r="AZ256" s="273">
        <v>9.552561010574605</v>
      </c>
      <c r="BA256" s="273">
        <v>2406</v>
      </c>
      <c r="BB256" s="273">
        <v>0.4247881355932203</v>
      </c>
      <c r="BC256" s="273">
        <v>0</v>
      </c>
      <c r="BD256" s="273">
        <v>0</v>
      </c>
      <c r="BE256" s="273">
        <v>6007</v>
      </c>
      <c r="BF256" s="273">
        <v>5664</v>
      </c>
      <c r="BG256" s="273">
        <v>-0.05710004994173464</v>
      </c>
      <c r="BH256" s="273">
        <v>0</v>
      </c>
      <c r="BI256" s="273">
        <v>0</v>
      </c>
      <c r="BJ256" s="273">
        <v>0</v>
      </c>
      <c r="BK256" s="273">
        <v>1593265.2360873509</v>
      </c>
      <c r="BL256" s="273">
        <v>6847.77</v>
      </c>
    </row>
    <row r="257" spans="6:64" s="273" customFormat="1" ht="12.75">
      <c r="F257" s="273">
        <v>581</v>
      </c>
      <c r="G257" s="273" t="s">
        <v>192</v>
      </c>
      <c r="H257" s="273">
        <v>463</v>
      </c>
      <c r="I257" s="273">
        <v>66</v>
      </c>
      <c r="J257" s="273">
        <v>426</v>
      </c>
      <c r="K257" s="273">
        <v>211</v>
      </c>
      <c r="L257" s="273">
        <v>4794</v>
      </c>
      <c r="M257" s="273">
        <v>921</v>
      </c>
      <c r="N257" s="273">
        <v>577</v>
      </c>
      <c r="O257" s="273">
        <v>227</v>
      </c>
      <c r="P257" s="273">
        <v>6982</v>
      </c>
      <c r="Q257" s="273">
        <v>5</v>
      </c>
      <c r="R257" s="273">
        <v>12</v>
      </c>
      <c r="S257" s="273">
        <v>852.17</v>
      </c>
      <c r="T257" s="273">
        <v>8.193200887146931</v>
      </c>
      <c r="U257" s="273">
        <v>0</v>
      </c>
      <c r="V257" s="273">
        <v>0</v>
      </c>
      <c r="W257" s="273">
        <v>2663</v>
      </c>
      <c r="X257" s="273">
        <v>183</v>
      </c>
      <c r="Y257" s="273">
        <v>33</v>
      </c>
      <c r="Z257" s="273">
        <v>0.9653451292339972</v>
      </c>
      <c r="AA257" s="273">
        <v>8</v>
      </c>
      <c r="AB257" s="273">
        <v>8</v>
      </c>
      <c r="AC257" s="273">
        <v>0.7412766396294522</v>
      </c>
      <c r="AD257" s="273">
        <v>444</v>
      </c>
      <c r="AE257" s="273">
        <v>43</v>
      </c>
      <c r="AF257" s="273">
        <v>8</v>
      </c>
      <c r="AG257" s="273">
        <v>2</v>
      </c>
      <c r="AH257" s="273">
        <v>497</v>
      </c>
      <c r="AI257" s="273">
        <v>1.4153506264200924</v>
      </c>
      <c r="AJ257" s="273">
        <v>3050</v>
      </c>
      <c r="AK257" s="273">
        <v>256</v>
      </c>
      <c r="AL257" s="273">
        <v>0.8880479713735123</v>
      </c>
      <c r="AM257" s="273">
        <v>1.09556622402946</v>
      </c>
      <c r="AN257" s="273">
        <v>0</v>
      </c>
      <c r="AO257" s="273">
        <v>0</v>
      </c>
      <c r="AP257" s="273">
        <f t="shared" si="2"/>
        <v>0</v>
      </c>
      <c r="AQ257" s="273">
        <v>-46909.599780224264</v>
      </c>
      <c r="AR257" s="273">
        <v>3122581.16209756</v>
      </c>
      <c r="AS257" s="273">
        <v>1</v>
      </c>
      <c r="AT257" s="273">
        <v>6982</v>
      </c>
      <c r="AU257" s="273">
        <v>0</v>
      </c>
      <c r="AV257" s="273">
        <v>0</v>
      </c>
      <c r="AW257" s="273">
        <v>0</v>
      </c>
      <c r="AX257" s="273">
        <v>0.23446666666666666</v>
      </c>
      <c r="AY257" s="273">
        <v>852.17</v>
      </c>
      <c r="AZ257" s="273">
        <v>8.193200887146931</v>
      </c>
      <c r="BA257" s="273">
        <v>4577</v>
      </c>
      <c r="BB257" s="273">
        <v>0.6555428244056144</v>
      </c>
      <c r="BC257" s="273">
        <v>0</v>
      </c>
      <c r="BD257" s="273">
        <v>0</v>
      </c>
      <c r="BE257" s="273">
        <v>7115</v>
      </c>
      <c r="BF257" s="273">
        <v>6982</v>
      </c>
      <c r="BG257" s="273">
        <v>-0.01869290231904427</v>
      </c>
      <c r="BH257" s="273">
        <v>0</v>
      </c>
      <c r="BI257" s="273">
        <v>0</v>
      </c>
      <c r="BJ257" s="273">
        <v>0</v>
      </c>
      <c r="BK257" s="273">
        <v>1411657.269927449</v>
      </c>
      <c r="BL257" s="273">
        <v>6954.64</v>
      </c>
    </row>
    <row r="258" spans="6:64" s="273" customFormat="1" ht="12.75">
      <c r="F258" s="273">
        <v>599</v>
      </c>
      <c r="G258" s="273" t="s">
        <v>193</v>
      </c>
      <c r="H258" s="273">
        <v>1258</v>
      </c>
      <c r="I258" s="273">
        <v>174</v>
      </c>
      <c r="J258" s="273">
        <v>1035</v>
      </c>
      <c r="K258" s="273">
        <v>542</v>
      </c>
      <c r="L258" s="273">
        <v>8018</v>
      </c>
      <c r="M258" s="273">
        <v>905</v>
      </c>
      <c r="N258" s="273">
        <v>505</v>
      </c>
      <c r="O258" s="273">
        <v>251</v>
      </c>
      <c r="P258" s="273">
        <v>10937</v>
      </c>
      <c r="Q258" s="273">
        <v>1618</v>
      </c>
      <c r="R258" s="273">
        <v>23</v>
      </c>
      <c r="S258" s="273">
        <v>794.28</v>
      </c>
      <c r="T258" s="273">
        <v>13.769703379161001</v>
      </c>
      <c r="U258" s="273">
        <v>0</v>
      </c>
      <c r="V258" s="273">
        <v>3</v>
      </c>
      <c r="W258" s="273">
        <v>4545</v>
      </c>
      <c r="X258" s="273">
        <v>488</v>
      </c>
      <c r="Y258" s="273">
        <v>31</v>
      </c>
      <c r="Z258" s="273">
        <v>0.9305928035324402</v>
      </c>
      <c r="AA258" s="273">
        <v>7</v>
      </c>
      <c r="AB258" s="273">
        <v>7</v>
      </c>
      <c r="AC258" s="273">
        <v>0.41406640858153343</v>
      </c>
      <c r="AD258" s="273">
        <v>362</v>
      </c>
      <c r="AE258" s="273">
        <v>95</v>
      </c>
      <c r="AF258" s="273">
        <v>19</v>
      </c>
      <c r="AG258" s="273">
        <v>0</v>
      </c>
      <c r="AH258" s="273">
        <v>476</v>
      </c>
      <c r="AI258" s="273">
        <v>0.8653588465168961</v>
      </c>
      <c r="AJ258" s="273">
        <v>4980</v>
      </c>
      <c r="AK258" s="273">
        <v>163</v>
      </c>
      <c r="AL258" s="273">
        <v>0.3463016511109608</v>
      </c>
      <c r="AM258" s="273">
        <v>0.718986611433225</v>
      </c>
      <c r="AN258" s="273">
        <v>0</v>
      </c>
      <c r="AO258" s="273">
        <v>0</v>
      </c>
      <c r="AP258" s="273">
        <f t="shared" si="2"/>
        <v>0</v>
      </c>
      <c r="AQ258" s="273">
        <v>228177.65468864888</v>
      </c>
      <c r="AR258" s="273">
        <v>5652866.766969221</v>
      </c>
      <c r="AS258" s="273">
        <v>1</v>
      </c>
      <c r="AT258" s="273">
        <v>10937</v>
      </c>
      <c r="AU258" s="273">
        <v>0</v>
      </c>
      <c r="AV258" s="273">
        <v>0</v>
      </c>
      <c r="AW258" s="273">
        <v>0</v>
      </c>
      <c r="AX258" s="273">
        <v>0</v>
      </c>
      <c r="AY258" s="273">
        <v>794.28</v>
      </c>
      <c r="AZ258" s="273">
        <v>13.769703379161001</v>
      </c>
      <c r="BA258" s="273">
        <v>7435</v>
      </c>
      <c r="BB258" s="273">
        <v>0.6798025052573832</v>
      </c>
      <c r="BC258" s="273">
        <v>3</v>
      </c>
      <c r="BD258" s="273">
        <v>0</v>
      </c>
      <c r="BE258" s="273">
        <v>10757</v>
      </c>
      <c r="BF258" s="273">
        <v>10937</v>
      </c>
      <c r="BG258" s="273">
        <v>0.016733289950729757</v>
      </c>
      <c r="BH258" s="273">
        <v>0</v>
      </c>
      <c r="BI258" s="273">
        <v>0</v>
      </c>
      <c r="BJ258" s="273">
        <v>0</v>
      </c>
      <c r="BK258" s="273">
        <v>1839390.4560869522</v>
      </c>
      <c r="BL258" s="273">
        <v>7612.36</v>
      </c>
    </row>
    <row r="259" spans="6:64" s="273" customFormat="1" ht="12.75">
      <c r="F259" s="273">
        <v>583</v>
      </c>
      <c r="G259" s="273" t="s">
        <v>194</v>
      </c>
      <c r="H259" s="273">
        <v>34</v>
      </c>
      <c r="I259" s="273">
        <v>4</v>
      </c>
      <c r="J259" s="273">
        <v>28</v>
      </c>
      <c r="K259" s="273">
        <v>19</v>
      </c>
      <c r="L259" s="273">
        <v>665</v>
      </c>
      <c r="M259" s="273">
        <v>151</v>
      </c>
      <c r="N259" s="273">
        <v>100</v>
      </c>
      <c r="O259" s="273">
        <v>23</v>
      </c>
      <c r="P259" s="273">
        <v>973</v>
      </c>
      <c r="Q259" s="273">
        <v>0</v>
      </c>
      <c r="R259" s="273">
        <v>0</v>
      </c>
      <c r="S259" s="273">
        <v>1836.34</v>
      </c>
      <c r="T259" s="273">
        <v>0.5298583051068975</v>
      </c>
      <c r="U259" s="273">
        <v>0</v>
      </c>
      <c r="V259" s="273">
        <v>0</v>
      </c>
      <c r="W259" s="273">
        <v>356</v>
      </c>
      <c r="X259" s="273">
        <v>36</v>
      </c>
      <c r="Y259" s="273">
        <v>5</v>
      </c>
      <c r="Z259" s="273">
        <v>0.9295662826440682</v>
      </c>
      <c r="AA259" s="273">
        <v>0</v>
      </c>
      <c r="AB259" s="273">
        <v>2</v>
      </c>
      <c r="AC259" s="273">
        <v>1.3298030570125476</v>
      </c>
      <c r="AD259" s="273">
        <v>73</v>
      </c>
      <c r="AE259" s="273">
        <v>2</v>
      </c>
      <c r="AF259" s="273">
        <v>5</v>
      </c>
      <c r="AG259" s="273">
        <v>2</v>
      </c>
      <c r="AH259" s="273">
        <v>82</v>
      </c>
      <c r="AI259" s="273">
        <v>1.675670057426857</v>
      </c>
      <c r="AJ259" s="273">
        <v>454</v>
      </c>
      <c r="AK259" s="273">
        <v>85</v>
      </c>
      <c r="AL259" s="273">
        <v>1.9808855019495377</v>
      </c>
      <c r="AM259" s="273">
        <v>1.88692401188733</v>
      </c>
      <c r="AN259" s="273">
        <v>0.17</v>
      </c>
      <c r="AO259" s="273">
        <v>0</v>
      </c>
      <c r="AP259" s="273">
        <f t="shared" si="2"/>
        <v>0.17</v>
      </c>
      <c r="AQ259" s="273">
        <v>326846.61793812085</v>
      </c>
      <c r="AR259" s="273">
        <v>419311.84270731674</v>
      </c>
      <c r="AS259" s="273">
        <v>0</v>
      </c>
      <c r="AT259" s="273">
        <v>973</v>
      </c>
      <c r="AU259" s="273">
        <v>0</v>
      </c>
      <c r="AV259" s="273">
        <v>0</v>
      </c>
      <c r="AW259" s="273">
        <v>0</v>
      </c>
      <c r="AX259" s="273">
        <v>1.6671333333333334</v>
      </c>
      <c r="AY259" s="273">
        <v>1836.34</v>
      </c>
      <c r="AZ259" s="273">
        <v>0.5298583051068975</v>
      </c>
      <c r="BA259" s="273">
        <v>384</v>
      </c>
      <c r="BB259" s="273">
        <v>0.394655704008222</v>
      </c>
      <c r="BC259" s="273">
        <v>0</v>
      </c>
      <c r="BD259" s="273">
        <v>0</v>
      </c>
      <c r="BE259" s="273">
        <v>1046</v>
      </c>
      <c r="BF259" s="273">
        <v>973</v>
      </c>
      <c r="BG259" s="273">
        <v>-0.06978967495219886</v>
      </c>
      <c r="BH259" s="273">
        <v>1</v>
      </c>
      <c r="BI259" s="273">
        <v>1</v>
      </c>
      <c r="BJ259" s="273">
        <v>0.0010277492291880781</v>
      </c>
      <c r="BK259" s="273">
        <v>307760.18916486885</v>
      </c>
      <c r="BL259" s="273">
        <v>9223.42</v>
      </c>
    </row>
    <row r="260" spans="6:64" s="273" customFormat="1" ht="12.75">
      <c r="F260" s="273">
        <v>854</v>
      </c>
      <c r="G260" s="273" t="s">
        <v>195</v>
      </c>
      <c r="H260" s="273">
        <v>141</v>
      </c>
      <c r="I260" s="273">
        <v>32</v>
      </c>
      <c r="J260" s="273">
        <v>180</v>
      </c>
      <c r="K260" s="273">
        <v>124</v>
      </c>
      <c r="L260" s="273">
        <v>2619</v>
      </c>
      <c r="M260" s="273">
        <v>583</v>
      </c>
      <c r="N260" s="273">
        <v>448</v>
      </c>
      <c r="O260" s="273">
        <v>121</v>
      </c>
      <c r="P260" s="273">
        <v>3912</v>
      </c>
      <c r="Q260" s="273">
        <v>2</v>
      </c>
      <c r="R260" s="273">
        <v>1</v>
      </c>
      <c r="S260" s="273">
        <v>1737.57</v>
      </c>
      <c r="T260" s="273">
        <v>2.251420086672767</v>
      </c>
      <c r="U260" s="273">
        <v>0</v>
      </c>
      <c r="V260" s="273">
        <v>0</v>
      </c>
      <c r="W260" s="273">
        <v>1300</v>
      </c>
      <c r="X260" s="273">
        <v>123</v>
      </c>
      <c r="Y260" s="273">
        <v>38</v>
      </c>
      <c r="Z260" s="273">
        <v>0.9204499500650728</v>
      </c>
      <c r="AA260" s="273">
        <v>13</v>
      </c>
      <c r="AB260" s="273">
        <v>13</v>
      </c>
      <c r="AC260" s="273">
        <v>2.149882268424299</v>
      </c>
      <c r="AD260" s="273">
        <v>320</v>
      </c>
      <c r="AE260" s="273">
        <v>28</v>
      </c>
      <c r="AF260" s="273">
        <v>8</v>
      </c>
      <c r="AG260" s="273">
        <v>11</v>
      </c>
      <c r="AH260" s="273">
        <v>367</v>
      </c>
      <c r="AI260" s="273">
        <v>1.8653258780881021</v>
      </c>
      <c r="AJ260" s="273">
        <v>1593</v>
      </c>
      <c r="AK260" s="273">
        <v>219</v>
      </c>
      <c r="AL260" s="273">
        <v>1.4545365526888574</v>
      </c>
      <c r="AM260" s="273">
        <v>1.54765594050336</v>
      </c>
      <c r="AN260" s="273">
        <v>0.17</v>
      </c>
      <c r="AO260" s="273">
        <v>0</v>
      </c>
      <c r="AP260" s="273">
        <f t="shared" si="2"/>
        <v>0.17</v>
      </c>
      <c r="AQ260" s="273">
        <v>-196013.11219165102</v>
      </c>
      <c r="AR260" s="273">
        <v>2474130.7152000004</v>
      </c>
      <c r="AS260" s="273">
        <v>1</v>
      </c>
      <c r="AT260" s="273">
        <v>3912</v>
      </c>
      <c r="AU260" s="273">
        <v>0</v>
      </c>
      <c r="AV260" s="273">
        <v>0</v>
      </c>
      <c r="AW260" s="273">
        <v>0</v>
      </c>
      <c r="AX260" s="273">
        <v>1.6320000000000001</v>
      </c>
      <c r="AY260" s="273">
        <v>1737.57</v>
      </c>
      <c r="AZ260" s="273">
        <v>2.251420086672767</v>
      </c>
      <c r="BA260" s="273">
        <v>1985</v>
      </c>
      <c r="BB260" s="273">
        <v>0.5074130879345603</v>
      </c>
      <c r="BC260" s="273">
        <v>0</v>
      </c>
      <c r="BD260" s="273">
        <v>0</v>
      </c>
      <c r="BE260" s="273">
        <v>4114</v>
      </c>
      <c r="BF260" s="273">
        <v>3912</v>
      </c>
      <c r="BG260" s="273">
        <v>-0.049100631988332526</v>
      </c>
      <c r="BH260" s="273">
        <v>0</v>
      </c>
      <c r="BI260" s="273">
        <v>4</v>
      </c>
      <c r="BJ260" s="273">
        <v>0.0010224948875255625</v>
      </c>
      <c r="BK260" s="273">
        <v>758999.7845660031</v>
      </c>
      <c r="BL260" s="273">
        <v>8107.51</v>
      </c>
    </row>
    <row r="261" spans="6:64" s="273" customFormat="1" ht="12.75">
      <c r="F261" s="273">
        <v>584</v>
      </c>
      <c r="G261" s="273" t="s">
        <v>196</v>
      </c>
      <c r="H261" s="273">
        <v>370</v>
      </c>
      <c r="I261" s="273">
        <v>55</v>
      </c>
      <c r="J261" s="273">
        <v>286</v>
      </c>
      <c r="K261" s="273">
        <v>137</v>
      </c>
      <c r="L261" s="273">
        <v>2017</v>
      </c>
      <c r="M261" s="273">
        <v>272</v>
      </c>
      <c r="N261" s="273">
        <v>174</v>
      </c>
      <c r="O261" s="273">
        <v>77</v>
      </c>
      <c r="P261" s="273">
        <v>2910</v>
      </c>
      <c r="Q261" s="273">
        <v>3</v>
      </c>
      <c r="R261" s="273">
        <v>2</v>
      </c>
      <c r="S261" s="273">
        <v>747.94</v>
      </c>
      <c r="T261" s="273">
        <v>3.8906864186966867</v>
      </c>
      <c r="U261" s="273">
        <v>0</v>
      </c>
      <c r="V261" s="273">
        <v>0</v>
      </c>
      <c r="W261" s="273">
        <v>1012</v>
      </c>
      <c r="X261" s="273">
        <v>196</v>
      </c>
      <c r="Y261" s="273">
        <v>20</v>
      </c>
      <c r="Z261" s="273">
        <v>0.8263277963189204</v>
      </c>
      <c r="AA261" s="273">
        <v>1</v>
      </c>
      <c r="AB261" s="273">
        <v>2</v>
      </c>
      <c r="AC261" s="273">
        <v>0.44463861665746013</v>
      </c>
      <c r="AD261" s="273">
        <v>194</v>
      </c>
      <c r="AE261" s="273">
        <v>39</v>
      </c>
      <c r="AF261" s="273">
        <v>4</v>
      </c>
      <c r="AG261" s="273">
        <v>1</v>
      </c>
      <c r="AH261" s="273">
        <v>238</v>
      </c>
      <c r="AI261" s="273">
        <v>1.6261906708514249</v>
      </c>
      <c r="AJ261" s="273">
        <v>1167</v>
      </c>
      <c r="AK261" s="273">
        <v>104</v>
      </c>
      <c r="AL261" s="273">
        <v>0.9428851238474658</v>
      </c>
      <c r="AM261" s="273">
        <v>1.30979561567927</v>
      </c>
      <c r="AN261" s="273">
        <v>0.05</v>
      </c>
      <c r="AO261" s="273">
        <v>0</v>
      </c>
      <c r="AP261" s="273">
        <f t="shared" si="2"/>
        <v>0.05</v>
      </c>
      <c r="AQ261" s="273">
        <v>40403.31963919662</v>
      </c>
      <c r="AR261" s="273">
        <v>2862145.735985001</v>
      </c>
      <c r="AS261" s="273">
        <v>1</v>
      </c>
      <c r="AT261" s="273">
        <v>2910</v>
      </c>
      <c r="AU261" s="273">
        <v>0</v>
      </c>
      <c r="AV261" s="273">
        <v>0</v>
      </c>
      <c r="AW261" s="273">
        <v>0</v>
      </c>
      <c r="AX261" s="273">
        <v>0.9480999999999999</v>
      </c>
      <c r="AY261" s="273">
        <v>747.94</v>
      </c>
      <c r="AZ261" s="273">
        <v>3.8906864186966867</v>
      </c>
      <c r="BA261" s="273">
        <v>858</v>
      </c>
      <c r="BB261" s="273">
        <v>0.2948453608247423</v>
      </c>
      <c r="BC261" s="273">
        <v>0</v>
      </c>
      <c r="BD261" s="273">
        <v>0</v>
      </c>
      <c r="BE261" s="273">
        <v>3020</v>
      </c>
      <c r="BF261" s="273">
        <v>2910</v>
      </c>
      <c r="BG261" s="273">
        <v>-0.03642384105960265</v>
      </c>
      <c r="BH261" s="273">
        <v>0</v>
      </c>
      <c r="BI261" s="273">
        <v>0</v>
      </c>
      <c r="BJ261" s="273">
        <v>0</v>
      </c>
      <c r="BK261" s="273">
        <v>607636.8588216</v>
      </c>
      <c r="BL261" s="273">
        <v>7475.6</v>
      </c>
    </row>
    <row r="262" spans="6:64" s="273" customFormat="1" ht="12.75">
      <c r="F262" s="273">
        <v>588</v>
      </c>
      <c r="G262" s="273" t="s">
        <v>197</v>
      </c>
      <c r="H262" s="273">
        <v>112</v>
      </c>
      <c r="I262" s="273">
        <v>21</v>
      </c>
      <c r="J262" s="273">
        <v>110</v>
      </c>
      <c r="K262" s="273">
        <v>48</v>
      </c>
      <c r="L262" s="273">
        <v>1227</v>
      </c>
      <c r="M262" s="273">
        <v>292</v>
      </c>
      <c r="N262" s="273">
        <v>201</v>
      </c>
      <c r="O262" s="273">
        <v>78</v>
      </c>
      <c r="P262" s="273">
        <v>1910</v>
      </c>
      <c r="Q262" s="273">
        <v>0</v>
      </c>
      <c r="R262" s="273">
        <v>1</v>
      </c>
      <c r="S262" s="273">
        <v>374.48</v>
      </c>
      <c r="T262" s="273">
        <v>5.100405896176031</v>
      </c>
      <c r="U262" s="273">
        <v>0</v>
      </c>
      <c r="V262" s="273">
        <v>0</v>
      </c>
      <c r="W262" s="273">
        <v>694</v>
      </c>
      <c r="X262" s="273">
        <v>130</v>
      </c>
      <c r="Y262" s="273">
        <v>12</v>
      </c>
      <c r="Z262" s="273">
        <v>0.8356018907412794</v>
      </c>
      <c r="AA262" s="273">
        <v>1</v>
      </c>
      <c r="AB262" s="273">
        <v>2</v>
      </c>
      <c r="AC262" s="273">
        <v>0.6774337039126749</v>
      </c>
      <c r="AD262" s="273">
        <v>99</v>
      </c>
      <c r="AE262" s="273">
        <v>12</v>
      </c>
      <c r="AF262" s="273">
        <v>3</v>
      </c>
      <c r="AG262" s="273">
        <v>2</v>
      </c>
      <c r="AH262" s="273">
        <v>116</v>
      </c>
      <c r="AI262" s="273">
        <v>1.2075694549971554</v>
      </c>
      <c r="AJ262" s="273">
        <v>779</v>
      </c>
      <c r="AK262" s="273">
        <v>75</v>
      </c>
      <c r="AL262" s="273">
        <v>1.0186385462717171</v>
      </c>
      <c r="AM262" s="273">
        <v>1.58675465318866</v>
      </c>
      <c r="AN262" s="273">
        <v>0</v>
      </c>
      <c r="AO262" s="273">
        <v>0</v>
      </c>
      <c r="AP262" s="273">
        <f t="shared" si="2"/>
        <v>0</v>
      </c>
      <c r="AQ262" s="273">
        <v>63048.20871804934</v>
      </c>
      <c r="AR262" s="273">
        <v>1746812.7643249996</v>
      </c>
      <c r="AS262" s="273">
        <v>1</v>
      </c>
      <c r="AT262" s="273">
        <v>1910</v>
      </c>
      <c r="AU262" s="273">
        <v>0</v>
      </c>
      <c r="AV262" s="273">
        <v>0</v>
      </c>
      <c r="AW262" s="273">
        <v>0</v>
      </c>
      <c r="AX262" s="273">
        <v>0.20413333333333333</v>
      </c>
      <c r="AY262" s="273">
        <v>374.48</v>
      </c>
      <c r="AZ262" s="273">
        <v>5.100405896176031</v>
      </c>
      <c r="BA262" s="273">
        <v>794</v>
      </c>
      <c r="BB262" s="273">
        <v>0.4157068062827225</v>
      </c>
      <c r="BC262" s="273">
        <v>0</v>
      </c>
      <c r="BD262" s="273">
        <v>0</v>
      </c>
      <c r="BE262" s="273">
        <v>1979</v>
      </c>
      <c r="BF262" s="273">
        <v>1910</v>
      </c>
      <c r="BG262" s="273">
        <v>-0.03486609398686205</v>
      </c>
      <c r="BH262" s="273">
        <v>0</v>
      </c>
      <c r="BI262" s="273">
        <v>0</v>
      </c>
      <c r="BJ262" s="273">
        <v>0</v>
      </c>
      <c r="BK262" s="273">
        <v>435744.49278988456</v>
      </c>
      <c r="BL262" s="273">
        <v>7263.07</v>
      </c>
    </row>
    <row r="263" spans="6:64" s="273" customFormat="1" ht="12.75">
      <c r="F263" s="273">
        <v>592</v>
      </c>
      <c r="G263" s="273" t="s">
        <v>198</v>
      </c>
      <c r="H263" s="273">
        <v>388</v>
      </c>
      <c r="I263" s="273">
        <v>57</v>
      </c>
      <c r="J263" s="273">
        <v>300</v>
      </c>
      <c r="K263" s="273">
        <v>156</v>
      </c>
      <c r="L263" s="273">
        <v>2882</v>
      </c>
      <c r="M263" s="273">
        <v>416</v>
      </c>
      <c r="N263" s="273">
        <v>266</v>
      </c>
      <c r="O263" s="273">
        <v>113</v>
      </c>
      <c r="P263" s="273">
        <v>4065</v>
      </c>
      <c r="Q263" s="273">
        <v>0</v>
      </c>
      <c r="R263" s="273">
        <v>1</v>
      </c>
      <c r="S263" s="273">
        <v>456.38</v>
      </c>
      <c r="T263" s="273">
        <v>8.907051141592532</v>
      </c>
      <c r="U263" s="273">
        <v>0</v>
      </c>
      <c r="V263" s="273">
        <v>0</v>
      </c>
      <c r="W263" s="273">
        <v>1518</v>
      </c>
      <c r="X263" s="273">
        <v>161</v>
      </c>
      <c r="Y263" s="273">
        <v>14</v>
      </c>
      <c r="Z263" s="273">
        <v>0.9294457541510135</v>
      </c>
      <c r="AA263" s="273">
        <v>4</v>
      </c>
      <c r="AB263" s="273">
        <v>2</v>
      </c>
      <c r="AC263" s="273">
        <v>0.3183021831422408</v>
      </c>
      <c r="AD263" s="273">
        <v>236</v>
      </c>
      <c r="AE263" s="273">
        <v>23</v>
      </c>
      <c r="AF263" s="273">
        <v>8</v>
      </c>
      <c r="AG263" s="273">
        <v>9</v>
      </c>
      <c r="AH263" s="273">
        <v>276</v>
      </c>
      <c r="AI263" s="273">
        <v>1.3500070278158809</v>
      </c>
      <c r="AJ263" s="273">
        <v>1743</v>
      </c>
      <c r="AK263" s="273">
        <v>165</v>
      </c>
      <c r="AL263" s="273">
        <v>1.001573574641692</v>
      </c>
      <c r="AM263" s="273">
        <v>1.10779870983595</v>
      </c>
      <c r="AN263" s="273">
        <v>0</v>
      </c>
      <c r="AO263" s="273">
        <v>0</v>
      </c>
      <c r="AP263" s="273">
        <f t="shared" si="2"/>
        <v>0</v>
      </c>
      <c r="AQ263" s="273">
        <v>36948.840584326535</v>
      </c>
      <c r="AR263" s="273">
        <v>2764258.637984998</v>
      </c>
      <c r="AS263" s="273">
        <v>1</v>
      </c>
      <c r="AT263" s="273">
        <v>4065</v>
      </c>
      <c r="AU263" s="273">
        <v>0</v>
      </c>
      <c r="AV263" s="273">
        <v>0</v>
      </c>
      <c r="AW263" s="273">
        <v>0</v>
      </c>
      <c r="AX263" s="273">
        <v>0</v>
      </c>
      <c r="AY263" s="273">
        <v>456.38</v>
      </c>
      <c r="AZ263" s="273">
        <v>8.907051141592532</v>
      </c>
      <c r="BA263" s="273">
        <v>2147</v>
      </c>
      <c r="BB263" s="273">
        <v>0.5281672816728167</v>
      </c>
      <c r="BC263" s="273">
        <v>0</v>
      </c>
      <c r="BD263" s="273">
        <v>0</v>
      </c>
      <c r="BE263" s="273">
        <v>3887</v>
      </c>
      <c r="BF263" s="273">
        <v>4065</v>
      </c>
      <c r="BG263" s="273">
        <v>0.04579367121173141</v>
      </c>
      <c r="BH263" s="273">
        <v>0</v>
      </c>
      <c r="BI263" s="273">
        <v>0</v>
      </c>
      <c r="BJ263" s="273">
        <v>0</v>
      </c>
      <c r="BK263" s="273">
        <v>848762.8564211993</v>
      </c>
      <c r="BL263" s="273">
        <v>6869.83</v>
      </c>
    </row>
    <row r="264" spans="6:64" s="273" customFormat="1" ht="12.75">
      <c r="F264" s="273">
        <v>593</v>
      </c>
      <c r="G264" s="273" t="s">
        <v>199</v>
      </c>
      <c r="H264" s="273">
        <v>1133</v>
      </c>
      <c r="I264" s="273">
        <v>170</v>
      </c>
      <c r="J264" s="273">
        <v>1053</v>
      </c>
      <c r="K264" s="273">
        <v>639</v>
      </c>
      <c r="L264" s="273">
        <v>13657</v>
      </c>
      <c r="M264" s="273">
        <v>2502</v>
      </c>
      <c r="N264" s="273">
        <v>1758</v>
      </c>
      <c r="O264" s="273">
        <v>650</v>
      </c>
      <c r="P264" s="273">
        <v>19700</v>
      </c>
      <c r="Q264" s="273">
        <v>3</v>
      </c>
      <c r="R264" s="273">
        <v>27</v>
      </c>
      <c r="S264" s="273">
        <v>1568.57</v>
      </c>
      <c r="T264" s="273">
        <v>12.559209981065557</v>
      </c>
      <c r="U264" s="273">
        <v>0</v>
      </c>
      <c r="V264" s="273">
        <v>0</v>
      </c>
      <c r="W264" s="273">
        <v>7553</v>
      </c>
      <c r="X264" s="273">
        <v>522</v>
      </c>
      <c r="Y264" s="273">
        <v>88</v>
      </c>
      <c r="Z264" s="273">
        <v>0.9657116870797073</v>
      </c>
      <c r="AA264" s="273">
        <v>32</v>
      </c>
      <c r="AB264" s="273">
        <v>32</v>
      </c>
      <c r="AC264" s="273">
        <v>1.0508819285061595</v>
      </c>
      <c r="AD264" s="273">
        <v>1323</v>
      </c>
      <c r="AE264" s="273">
        <v>119</v>
      </c>
      <c r="AF264" s="273">
        <v>43</v>
      </c>
      <c r="AG264" s="273">
        <v>14</v>
      </c>
      <c r="AH264" s="273">
        <v>1499</v>
      </c>
      <c r="AI264" s="273">
        <v>1.5129441759617563</v>
      </c>
      <c r="AJ264" s="273">
        <v>8727</v>
      </c>
      <c r="AK264" s="273">
        <v>776</v>
      </c>
      <c r="AL264" s="273">
        <v>0.9407907654794518</v>
      </c>
      <c r="AM264" s="273">
        <v>1.53077966883261</v>
      </c>
      <c r="AN264" s="273">
        <v>0</v>
      </c>
      <c r="AO264" s="273">
        <v>0</v>
      </c>
      <c r="AP264" s="273">
        <f t="shared" si="2"/>
        <v>0</v>
      </c>
      <c r="AQ264" s="273">
        <v>-146001.90130151063</v>
      </c>
      <c r="AR264" s="273">
        <v>5811746.515281004</v>
      </c>
      <c r="AS264" s="273">
        <v>1</v>
      </c>
      <c r="AT264" s="273">
        <v>19700</v>
      </c>
      <c r="AU264" s="273">
        <v>0</v>
      </c>
      <c r="AV264" s="273">
        <v>0</v>
      </c>
      <c r="AW264" s="273">
        <v>0</v>
      </c>
      <c r="AX264" s="273">
        <v>0</v>
      </c>
      <c r="AY264" s="273">
        <v>1568.57</v>
      </c>
      <c r="AZ264" s="273">
        <v>12.559209981065557</v>
      </c>
      <c r="BA264" s="273">
        <v>14723</v>
      </c>
      <c r="BB264" s="273">
        <v>0.7473604060913706</v>
      </c>
      <c r="BC264" s="273">
        <v>0</v>
      </c>
      <c r="BD264" s="273">
        <v>0</v>
      </c>
      <c r="BE264" s="273">
        <v>20304</v>
      </c>
      <c r="BF264" s="273">
        <v>19700</v>
      </c>
      <c r="BG264" s="273">
        <v>-0.029747832939322302</v>
      </c>
      <c r="BH264" s="273">
        <v>0</v>
      </c>
      <c r="BI264" s="273">
        <v>1</v>
      </c>
      <c r="BJ264" s="273">
        <v>5.076142131979695E-05</v>
      </c>
      <c r="BK264" s="273">
        <v>3388355.2387593533</v>
      </c>
      <c r="BL264" s="273">
        <v>6652.81</v>
      </c>
    </row>
    <row r="265" spans="6:64" s="273" customFormat="1" ht="12.75">
      <c r="F265" s="273">
        <v>595</v>
      </c>
      <c r="G265" s="273" t="s">
        <v>200</v>
      </c>
      <c r="H265" s="273">
        <v>316</v>
      </c>
      <c r="I265" s="273">
        <v>51</v>
      </c>
      <c r="J265" s="273">
        <v>291</v>
      </c>
      <c r="K265" s="273">
        <v>186</v>
      </c>
      <c r="L265" s="273">
        <v>3244</v>
      </c>
      <c r="M265" s="273">
        <v>679</v>
      </c>
      <c r="N265" s="273">
        <v>555</v>
      </c>
      <c r="O265" s="273">
        <v>212</v>
      </c>
      <c r="P265" s="273">
        <v>5006</v>
      </c>
      <c r="Q265" s="273">
        <v>1</v>
      </c>
      <c r="R265" s="273">
        <v>13</v>
      </c>
      <c r="S265" s="273">
        <v>1153.23</v>
      </c>
      <c r="T265" s="273">
        <v>4.34085134795314</v>
      </c>
      <c r="U265" s="273">
        <v>0</v>
      </c>
      <c r="V265" s="273">
        <v>0</v>
      </c>
      <c r="W265" s="273">
        <v>1631</v>
      </c>
      <c r="X265" s="273">
        <v>412</v>
      </c>
      <c r="Y265" s="273">
        <v>23</v>
      </c>
      <c r="Z265" s="273">
        <v>0.7703658551264893</v>
      </c>
      <c r="AA265" s="273">
        <v>4</v>
      </c>
      <c r="AB265" s="273">
        <v>2</v>
      </c>
      <c r="AC265" s="273">
        <v>0.2584695114808647</v>
      </c>
      <c r="AD265" s="273">
        <v>488</v>
      </c>
      <c r="AE265" s="273">
        <v>27</v>
      </c>
      <c r="AF265" s="273">
        <v>5</v>
      </c>
      <c r="AG265" s="273">
        <v>8</v>
      </c>
      <c r="AH265" s="273">
        <v>528</v>
      </c>
      <c r="AI265" s="273">
        <v>2.097155213701371</v>
      </c>
      <c r="AJ265" s="273">
        <v>1915</v>
      </c>
      <c r="AK265" s="273">
        <v>201</v>
      </c>
      <c r="AL265" s="273">
        <v>1.1105128281056864</v>
      </c>
      <c r="AM265" s="273">
        <v>1.66027029391812</v>
      </c>
      <c r="AN265" s="273">
        <v>0</v>
      </c>
      <c r="AO265" s="273">
        <v>0</v>
      </c>
      <c r="AP265" s="273">
        <f t="shared" si="2"/>
        <v>0</v>
      </c>
      <c r="AQ265" s="273">
        <v>172400.20626162738</v>
      </c>
      <c r="AR265" s="273">
        <v>4439862.510050634</v>
      </c>
      <c r="AS265" s="273">
        <v>1</v>
      </c>
      <c r="AT265" s="273">
        <v>5006</v>
      </c>
      <c r="AU265" s="273">
        <v>0</v>
      </c>
      <c r="AV265" s="273">
        <v>0</v>
      </c>
      <c r="AW265" s="273">
        <v>0</v>
      </c>
      <c r="AX265" s="273">
        <v>0.4548</v>
      </c>
      <c r="AY265" s="273">
        <v>1153.23</v>
      </c>
      <c r="AZ265" s="273">
        <v>4.34085134795314</v>
      </c>
      <c r="BA265" s="273">
        <v>2086</v>
      </c>
      <c r="BB265" s="273">
        <v>0.41669996004794246</v>
      </c>
      <c r="BC265" s="273">
        <v>0</v>
      </c>
      <c r="BD265" s="273">
        <v>0</v>
      </c>
      <c r="BE265" s="273">
        <v>5249</v>
      </c>
      <c r="BF265" s="273">
        <v>5006</v>
      </c>
      <c r="BG265" s="273">
        <v>-0.046294532291865115</v>
      </c>
      <c r="BH265" s="273">
        <v>0</v>
      </c>
      <c r="BI265" s="273">
        <v>0</v>
      </c>
      <c r="BJ265" s="273">
        <v>0</v>
      </c>
      <c r="BK265" s="273">
        <v>1104099.9241474015</v>
      </c>
      <c r="BL265" s="273">
        <v>7375.97</v>
      </c>
    </row>
    <row r="266" spans="6:64" s="273" customFormat="1" ht="12.75">
      <c r="F266" s="273">
        <v>598</v>
      </c>
      <c r="G266" s="273" t="s">
        <v>201</v>
      </c>
      <c r="H266" s="273">
        <v>1491</v>
      </c>
      <c r="I266" s="273">
        <v>198</v>
      </c>
      <c r="J266" s="273">
        <v>1269</v>
      </c>
      <c r="K266" s="273">
        <v>722</v>
      </c>
      <c r="L266" s="273">
        <v>13848</v>
      </c>
      <c r="M266" s="273">
        <v>2265</v>
      </c>
      <c r="N266" s="273">
        <v>1438</v>
      </c>
      <c r="O266" s="273">
        <v>581</v>
      </c>
      <c r="P266" s="273">
        <v>19623</v>
      </c>
      <c r="Q266" s="273">
        <v>1265</v>
      </c>
      <c r="R266" s="273">
        <v>139</v>
      </c>
      <c r="S266" s="273">
        <v>88.31</v>
      </c>
      <c r="T266" s="273">
        <v>222.20586570037366</v>
      </c>
      <c r="U266" s="273">
        <v>0</v>
      </c>
      <c r="V266" s="273">
        <v>3</v>
      </c>
      <c r="W266" s="273">
        <v>7870</v>
      </c>
      <c r="X266" s="273">
        <v>84</v>
      </c>
      <c r="Y266" s="273">
        <v>61</v>
      </c>
      <c r="Z266" s="273">
        <v>1.031201562654828</v>
      </c>
      <c r="AA266" s="273">
        <v>32</v>
      </c>
      <c r="AB266" s="273">
        <v>32</v>
      </c>
      <c r="AC266" s="273">
        <v>1.0550055542766825</v>
      </c>
      <c r="AD266" s="273">
        <v>1037</v>
      </c>
      <c r="AE266" s="273">
        <v>115</v>
      </c>
      <c r="AF266" s="273">
        <v>44</v>
      </c>
      <c r="AG266" s="273">
        <v>5</v>
      </c>
      <c r="AH266" s="273">
        <v>1201</v>
      </c>
      <c r="AI266" s="273">
        <v>1.2169286079286468</v>
      </c>
      <c r="AJ266" s="273">
        <v>8899</v>
      </c>
      <c r="AK266" s="273">
        <v>775</v>
      </c>
      <c r="AL266" s="273">
        <v>0.9214182212951156</v>
      </c>
      <c r="AM266" s="273">
        <v>1.08552435696856</v>
      </c>
      <c r="AN266" s="273">
        <v>0</v>
      </c>
      <c r="AO266" s="273">
        <v>0</v>
      </c>
      <c r="AP266" s="273">
        <f aca="true" t="shared" si="3" ref="AP266:AP329">MAX(AN266,AO266)</f>
        <v>0</v>
      </c>
      <c r="AQ266" s="273">
        <v>-237921.06673301756</v>
      </c>
      <c r="AR266" s="273">
        <v>-300836.4417293357</v>
      </c>
      <c r="AS266" s="273">
        <v>1</v>
      </c>
      <c r="AT266" s="273">
        <v>19623</v>
      </c>
      <c r="AU266" s="273">
        <v>0</v>
      </c>
      <c r="AV266" s="273">
        <v>0</v>
      </c>
      <c r="AW266" s="273">
        <v>0</v>
      </c>
      <c r="AX266" s="273">
        <v>0</v>
      </c>
      <c r="AY266" s="273">
        <v>88.31</v>
      </c>
      <c r="AZ266" s="273">
        <v>222.20586570037366</v>
      </c>
      <c r="BA266" s="273">
        <v>19158</v>
      </c>
      <c r="BB266" s="273">
        <v>0.976303317535545</v>
      </c>
      <c r="BC266" s="273">
        <v>3</v>
      </c>
      <c r="BD266" s="273">
        <v>0</v>
      </c>
      <c r="BE266" s="273">
        <v>19667</v>
      </c>
      <c r="BF266" s="273">
        <v>19623</v>
      </c>
      <c r="BG266" s="273">
        <v>-0.0022372502160980324</v>
      </c>
      <c r="BH266" s="273">
        <v>0</v>
      </c>
      <c r="BI266" s="273">
        <v>2</v>
      </c>
      <c r="BJ266" s="273">
        <v>0.00010192121490088162</v>
      </c>
      <c r="BK266" s="273">
        <v>2974004.5240750266</v>
      </c>
      <c r="BL266" s="273">
        <v>6674.91</v>
      </c>
    </row>
    <row r="267" spans="6:64" s="273" customFormat="1" ht="12.75">
      <c r="F267" s="273">
        <v>601</v>
      </c>
      <c r="G267" s="273" t="s">
        <v>202</v>
      </c>
      <c r="H267" s="273">
        <v>332</v>
      </c>
      <c r="I267" s="273">
        <v>41</v>
      </c>
      <c r="J267" s="273">
        <v>303</v>
      </c>
      <c r="K267" s="273">
        <v>170</v>
      </c>
      <c r="L267" s="273">
        <v>3080</v>
      </c>
      <c r="M267" s="273">
        <v>557</v>
      </c>
      <c r="N267" s="273">
        <v>388</v>
      </c>
      <c r="O267" s="273">
        <v>143</v>
      </c>
      <c r="P267" s="273">
        <v>4500</v>
      </c>
      <c r="Q267" s="273">
        <v>0</v>
      </c>
      <c r="R267" s="273">
        <v>5</v>
      </c>
      <c r="S267" s="273">
        <v>1074.77</v>
      </c>
      <c r="T267" s="273">
        <v>4.186942322543428</v>
      </c>
      <c r="U267" s="273">
        <v>0</v>
      </c>
      <c r="V267" s="273">
        <v>0</v>
      </c>
      <c r="W267" s="273">
        <v>1591</v>
      </c>
      <c r="X267" s="273">
        <v>334</v>
      </c>
      <c r="Y267" s="273">
        <v>34</v>
      </c>
      <c r="Z267" s="273">
        <v>0.8075623889693725</v>
      </c>
      <c r="AA267" s="273">
        <v>10</v>
      </c>
      <c r="AB267" s="273">
        <v>10</v>
      </c>
      <c r="AC267" s="273">
        <v>1.4376648605257876</v>
      </c>
      <c r="AD267" s="273">
        <v>303</v>
      </c>
      <c r="AE267" s="273">
        <v>26</v>
      </c>
      <c r="AF267" s="273">
        <v>12</v>
      </c>
      <c r="AG267" s="273">
        <v>1</v>
      </c>
      <c r="AH267" s="273">
        <v>342</v>
      </c>
      <c r="AI267" s="273">
        <v>1.5111274317878198</v>
      </c>
      <c r="AJ267" s="273">
        <v>1846</v>
      </c>
      <c r="AK267" s="273">
        <v>229</v>
      </c>
      <c r="AL267" s="273">
        <v>1.3125023395302124</v>
      </c>
      <c r="AM267" s="273">
        <v>1.56772547509609</v>
      </c>
      <c r="AN267" s="273">
        <v>0.0800000000000001</v>
      </c>
      <c r="AO267" s="273">
        <v>0</v>
      </c>
      <c r="AP267" s="273">
        <f t="shared" si="3"/>
        <v>0.0800000000000001</v>
      </c>
      <c r="AQ267" s="273">
        <v>-25694.288820859045</v>
      </c>
      <c r="AR267" s="273">
        <v>3904400.651030768</v>
      </c>
      <c r="AS267" s="273">
        <v>1</v>
      </c>
      <c r="AT267" s="273">
        <v>4500</v>
      </c>
      <c r="AU267" s="273">
        <v>0</v>
      </c>
      <c r="AV267" s="273">
        <v>0</v>
      </c>
      <c r="AW267" s="273">
        <v>0</v>
      </c>
      <c r="AX267" s="273">
        <v>1.0462166666666666</v>
      </c>
      <c r="AY267" s="273">
        <v>1074.77</v>
      </c>
      <c r="AZ267" s="273">
        <v>4.186942322543428</v>
      </c>
      <c r="BA267" s="273">
        <v>2023</v>
      </c>
      <c r="BB267" s="273">
        <v>0.44955555555555554</v>
      </c>
      <c r="BC267" s="273">
        <v>0</v>
      </c>
      <c r="BD267" s="273">
        <v>0</v>
      </c>
      <c r="BE267" s="273">
        <v>4700</v>
      </c>
      <c r="BF267" s="273">
        <v>4500</v>
      </c>
      <c r="BG267" s="273">
        <v>-0.0425531914893617</v>
      </c>
      <c r="BH267" s="273">
        <v>0</v>
      </c>
      <c r="BI267" s="273">
        <v>0</v>
      </c>
      <c r="BJ267" s="273">
        <v>0</v>
      </c>
      <c r="BK267" s="273">
        <v>1088972.1375175277</v>
      </c>
      <c r="BL267" s="273">
        <v>7386.58</v>
      </c>
    </row>
    <row r="268" spans="6:64" s="273" customFormat="1" ht="12.75">
      <c r="F268" s="273">
        <v>604</v>
      </c>
      <c r="G268" s="273" t="s">
        <v>203</v>
      </c>
      <c r="H268" s="273">
        <v>1876</v>
      </c>
      <c r="I268" s="273">
        <v>271</v>
      </c>
      <c r="J268" s="273">
        <v>1459</v>
      </c>
      <c r="K268" s="273">
        <v>684</v>
      </c>
      <c r="L268" s="273">
        <v>13445</v>
      </c>
      <c r="M268" s="273">
        <v>1578</v>
      </c>
      <c r="N268" s="273">
        <v>663</v>
      </c>
      <c r="O268" s="273">
        <v>201</v>
      </c>
      <c r="P268" s="273">
        <v>17763</v>
      </c>
      <c r="Q268" s="273">
        <v>11</v>
      </c>
      <c r="R268" s="273">
        <v>61</v>
      </c>
      <c r="S268" s="273">
        <v>81.38</v>
      </c>
      <c r="T268" s="273">
        <v>218.27230277709512</v>
      </c>
      <c r="U268" s="273">
        <v>0</v>
      </c>
      <c r="V268" s="273">
        <v>0</v>
      </c>
      <c r="W268" s="273">
        <v>7471</v>
      </c>
      <c r="X268" s="273">
        <v>35</v>
      </c>
      <c r="Y268" s="273">
        <v>67</v>
      </c>
      <c r="Z268" s="273">
        <v>1.0362144085181317</v>
      </c>
      <c r="AA268" s="273">
        <v>11</v>
      </c>
      <c r="AB268" s="273">
        <v>11</v>
      </c>
      <c r="AC268" s="273">
        <v>0.4006328356472808</v>
      </c>
      <c r="AD268" s="273">
        <v>424</v>
      </c>
      <c r="AE268" s="273">
        <v>168</v>
      </c>
      <c r="AF268" s="273">
        <v>36</v>
      </c>
      <c r="AG268" s="273">
        <v>6</v>
      </c>
      <c r="AH268" s="273">
        <v>634</v>
      </c>
      <c r="AI268" s="273">
        <v>0.7096765243494592</v>
      </c>
      <c r="AJ268" s="273">
        <v>8364</v>
      </c>
      <c r="AK268" s="273">
        <v>671</v>
      </c>
      <c r="AL268" s="273">
        <v>0.8487988775436682</v>
      </c>
      <c r="AM268" s="273">
        <v>0.603818829660471</v>
      </c>
      <c r="AN268" s="273">
        <v>0</v>
      </c>
      <c r="AO268" s="273">
        <v>0</v>
      </c>
      <c r="AP268" s="273">
        <f t="shared" si="3"/>
        <v>0</v>
      </c>
      <c r="AQ268" s="273">
        <v>-475239.0150869675</v>
      </c>
      <c r="AR268" s="273">
        <v>-3924897.487327105</v>
      </c>
      <c r="AS268" s="273">
        <v>1</v>
      </c>
      <c r="AT268" s="273">
        <v>17763</v>
      </c>
      <c r="AU268" s="273">
        <v>0</v>
      </c>
      <c r="AV268" s="273">
        <v>0</v>
      </c>
      <c r="AW268" s="273">
        <v>0</v>
      </c>
      <c r="AX268" s="273">
        <v>0</v>
      </c>
      <c r="AY268" s="273">
        <v>81.38</v>
      </c>
      <c r="AZ268" s="273">
        <v>218.27230277709512</v>
      </c>
      <c r="BA268" s="273">
        <v>17142</v>
      </c>
      <c r="BB268" s="273">
        <v>0.9650396892416822</v>
      </c>
      <c r="BC268" s="273">
        <v>0</v>
      </c>
      <c r="BD268" s="273">
        <v>0</v>
      </c>
      <c r="BE268" s="273">
        <v>16154</v>
      </c>
      <c r="BF268" s="273">
        <v>17763</v>
      </c>
      <c r="BG268" s="273">
        <v>0.09960381329701622</v>
      </c>
      <c r="BH268" s="273">
        <v>1</v>
      </c>
      <c r="BI268" s="273">
        <v>0</v>
      </c>
      <c r="BJ268" s="273">
        <v>0</v>
      </c>
      <c r="BK268" s="273">
        <v>2001625.4473386128</v>
      </c>
      <c r="BL268" s="273">
        <v>5882.03</v>
      </c>
    </row>
    <row r="269" spans="6:64" s="273" customFormat="1" ht="12.75">
      <c r="F269" s="273">
        <v>607</v>
      </c>
      <c r="G269" s="273" t="s">
        <v>204</v>
      </c>
      <c r="H269" s="273">
        <v>303</v>
      </c>
      <c r="I269" s="273">
        <v>37</v>
      </c>
      <c r="J269" s="273">
        <v>288</v>
      </c>
      <c r="K269" s="273">
        <v>176</v>
      </c>
      <c r="L269" s="273">
        <v>3373</v>
      </c>
      <c r="M269" s="273">
        <v>556</v>
      </c>
      <c r="N269" s="273">
        <v>404</v>
      </c>
      <c r="O269" s="273">
        <v>142</v>
      </c>
      <c r="P269" s="273">
        <v>4778</v>
      </c>
      <c r="Q269" s="273">
        <v>0</v>
      </c>
      <c r="R269" s="273">
        <v>0</v>
      </c>
      <c r="S269" s="273">
        <v>804.14</v>
      </c>
      <c r="T269" s="273">
        <v>5.941751436317059</v>
      </c>
      <c r="U269" s="273">
        <v>0</v>
      </c>
      <c r="V269" s="273">
        <v>0</v>
      </c>
      <c r="W269" s="273">
        <v>1629</v>
      </c>
      <c r="X269" s="273">
        <v>352</v>
      </c>
      <c r="Y269" s="273">
        <v>34</v>
      </c>
      <c r="Z269" s="273">
        <v>0.8016224124260892</v>
      </c>
      <c r="AA269" s="273">
        <v>8</v>
      </c>
      <c r="AB269" s="273">
        <v>8</v>
      </c>
      <c r="AC269" s="273">
        <v>1.0832133733555536</v>
      </c>
      <c r="AD269" s="273">
        <v>339</v>
      </c>
      <c r="AE269" s="273">
        <v>25</v>
      </c>
      <c r="AF269" s="273">
        <v>1</v>
      </c>
      <c r="AG269" s="273">
        <v>2</v>
      </c>
      <c r="AH269" s="273">
        <v>367</v>
      </c>
      <c r="AI269" s="273">
        <v>1.527240442670711</v>
      </c>
      <c r="AJ269" s="273">
        <v>2041</v>
      </c>
      <c r="AK269" s="273">
        <v>291</v>
      </c>
      <c r="AL269" s="273">
        <v>1.5085033703464923</v>
      </c>
      <c r="AM269" s="273">
        <v>1.60339682815597</v>
      </c>
      <c r="AN269" s="273">
        <v>0</v>
      </c>
      <c r="AO269" s="273">
        <v>0</v>
      </c>
      <c r="AP269" s="273">
        <f t="shared" si="3"/>
        <v>0</v>
      </c>
      <c r="AQ269" s="273">
        <v>80441.11767227948</v>
      </c>
      <c r="AR269" s="273">
        <v>5140404.077536842</v>
      </c>
      <c r="AS269" s="273">
        <v>1</v>
      </c>
      <c r="AT269" s="273">
        <v>4778</v>
      </c>
      <c r="AU269" s="273">
        <v>0</v>
      </c>
      <c r="AV269" s="273">
        <v>0</v>
      </c>
      <c r="AW269" s="273">
        <v>0</v>
      </c>
      <c r="AX269" s="273">
        <v>0</v>
      </c>
      <c r="AY269" s="273">
        <v>804.14</v>
      </c>
      <c r="AZ269" s="273">
        <v>5.941751436317059</v>
      </c>
      <c r="BA269" s="273">
        <v>1495</v>
      </c>
      <c r="BB269" s="273">
        <v>0.3128924236082043</v>
      </c>
      <c r="BC269" s="273">
        <v>0</v>
      </c>
      <c r="BD269" s="273">
        <v>0</v>
      </c>
      <c r="BE269" s="273">
        <v>4843</v>
      </c>
      <c r="BF269" s="273">
        <v>4778</v>
      </c>
      <c r="BG269" s="273">
        <v>-0.013421432996076812</v>
      </c>
      <c r="BH269" s="273">
        <v>0</v>
      </c>
      <c r="BI269" s="273">
        <v>0</v>
      </c>
      <c r="BJ269" s="273">
        <v>0</v>
      </c>
      <c r="BK269" s="273">
        <v>1477236.326142657</v>
      </c>
      <c r="BL269" s="273">
        <v>7133.41</v>
      </c>
    </row>
    <row r="270" spans="6:64" s="273" customFormat="1" ht="12.75">
      <c r="F270" s="273">
        <v>608</v>
      </c>
      <c r="G270" s="273" t="s">
        <v>205</v>
      </c>
      <c r="H270" s="273">
        <v>159</v>
      </c>
      <c r="I270" s="273">
        <v>27</v>
      </c>
      <c r="J270" s="273">
        <v>158</v>
      </c>
      <c r="K270" s="273">
        <v>86</v>
      </c>
      <c r="L270" s="273">
        <v>1624</v>
      </c>
      <c r="M270" s="273">
        <v>307</v>
      </c>
      <c r="N270" s="273">
        <v>226</v>
      </c>
      <c r="O270" s="273">
        <v>99</v>
      </c>
      <c r="P270" s="273">
        <v>2415</v>
      </c>
      <c r="Q270" s="273">
        <v>0</v>
      </c>
      <c r="R270" s="273">
        <v>4</v>
      </c>
      <c r="S270" s="273">
        <v>301.09</v>
      </c>
      <c r="T270" s="273">
        <v>8.020857550898404</v>
      </c>
      <c r="U270" s="273">
        <v>0</v>
      </c>
      <c r="V270" s="273">
        <v>0</v>
      </c>
      <c r="W270" s="273">
        <v>860</v>
      </c>
      <c r="X270" s="273">
        <v>73</v>
      </c>
      <c r="Y270" s="273">
        <v>12</v>
      </c>
      <c r="Z270" s="273">
        <v>0.9467232830620096</v>
      </c>
      <c r="AA270" s="273">
        <v>3</v>
      </c>
      <c r="AB270" s="273">
        <v>2</v>
      </c>
      <c r="AC270" s="273">
        <v>0.5357757244195481</v>
      </c>
      <c r="AD270" s="273">
        <v>185</v>
      </c>
      <c r="AE270" s="273">
        <v>20</v>
      </c>
      <c r="AF270" s="273">
        <v>4</v>
      </c>
      <c r="AG270" s="273">
        <v>10</v>
      </c>
      <c r="AH270" s="273">
        <v>219</v>
      </c>
      <c r="AI270" s="273">
        <v>1.8030778444019426</v>
      </c>
      <c r="AJ270" s="273">
        <v>1020</v>
      </c>
      <c r="AK270" s="273">
        <v>124</v>
      </c>
      <c r="AL270" s="273">
        <v>1.2862275688321934</v>
      </c>
      <c r="AM270" s="273">
        <v>1.69878432115496</v>
      </c>
      <c r="AN270" s="273">
        <v>0</v>
      </c>
      <c r="AO270" s="273">
        <v>0</v>
      </c>
      <c r="AP270" s="273">
        <f t="shared" si="3"/>
        <v>0</v>
      </c>
      <c r="AQ270" s="273">
        <v>-60503.46341793239</v>
      </c>
      <c r="AR270" s="273">
        <v>2060135.7362582276</v>
      </c>
      <c r="AS270" s="273">
        <v>1</v>
      </c>
      <c r="AT270" s="273">
        <v>2415</v>
      </c>
      <c r="AU270" s="273">
        <v>0</v>
      </c>
      <c r="AV270" s="273">
        <v>0</v>
      </c>
      <c r="AW270" s="273">
        <v>0</v>
      </c>
      <c r="AX270" s="273">
        <v>0</v>
      </c>
      <c r="AY270" s="273">
        <v>301.09</v>
      </c>
      <c r="AZ270" s="273">
        <v>8.020857550898404</v>
      </c>
      <c r="BA270" s="273">
        <v>1447</v>
      </c>
      <c r="BB270" s="273">
        <v>0.5991718426501035</v>
      </c>
      <c r="BC270" s="273">
        <v>0</v>
      </c>
      <c r="BD270" s="273">
        <v>0</v>
      </c>
      <c r="BE270" s="273">
        <v>2512</v>
      </c>
      <c r="BF270" s="273">
        <v>2415</v>
      </c>
      <c r="BG270" s="273">
        <v>-0.03861464968152866</v>
      </c>
      <c r="BH270" s="273">
        <v>0</v>
      </c>
      <c r="BI270" s="273">
        <v>1</v>
      </c>
      <c r="BJ270" s="273">
        <v>0.00041407867494824016</v>
      </c>
      <c r="BK270" s="273">
        <v>549793.0874685579</v>
      </c>
      <c r="BL270" s="273">
        <v>6956.68</v>
      </c>
    </row>
    <row r="271" spans="6:64" s="273" customFormat="1" ht="12.75">
      <c r="F271" s="273">
        <v>609</v>
      </c>
      <c r="G271" s="273" t="s">
        <v>206</v>
      </c>
      <c r="H271" s="273">
        <v>5797</v>
      </c>
      <c r="I271" s="273">
        <v>820</v>
      </c>
      <c r="J271" s="273">
        <v>4802</v>
      </c>
      <c r="K271" s="273">
        <v>2623</v>
      </c>
      <c r="L271" s="273">
        <v>59838</v>
      </c>
      <c r="M271" s="273">
        <v>9411</v>
      </c>
      <c r="N271" s="273">
        <v>6034</v>
      </c>
      <c r="O271" s="273">
        <v>2053</v>
      </c>
      <c r="P271" s="273">
        <v>83133</v>
      </c>
      <c r="Q271" s="273">
        <v>59</v>
      </c>
      <c r="R271" s="273">
        <v>148</v>
      </c>
      <c r="S271" s="273">
        <v>834.05</v>
      </c>
      <c r="T271" s="273">
        <v>99.67388046280199</v>
      </c>
      <c r="U271" s="273">
        <v>0</v>
      </c>
      <c r="V271" s="273">
        <v>0</v>
      </c>
      <c r="W271" s="273">
        <v>33093</v>
      </c>
      <c r="X271" s="273">
        <v>348</v>
      </c>
      <c r="Y271" s="273">
        <v>342</v>
      </c>
      <c r="Z271" s="273">
        <v>1.0286529791529886</v>
      </c>
      <c r="AA271" s="273">
        <v>165</v>
      </c>
      <c r="AB271" s="273">
        <v>165</v>
      </c>
      <c r="AC271" s="273">
        <v>1.284046237884351</v>
      </c>
      <c r="AD271" s="273">
        <v>4037</v>
      </c>
      <c r="AE271" s="273">
        <v>432</v>
      </c>
      <c r="AF271" s="273">
        <v>162</v>
      </c>
      <c r="AG271" s="273">
        <v>30</v>
      </c>
      <c r="AH271" s="273">
        <v>4661</v>
      </c>
      <c r="AI271" s="273">
        <v>1.1147902124438247</v>
      </c>
      <c r="AJ271" s="273">
        <v>38495</v>
      </c>
      <c r="AK271" s="273">
        <v>4777</v>
      </c>
      <c r="AL271" s="273">
        <v>1.3129470685840254</v>
      </c>
      <c r="AM271" s="273">
        <v>1.150289726982</v>
      </c>
      <c r="AN271" s="273">
        <v>0</v>
      </c>
      <c r="AO271" s="273">
        <v>0</v>
      </c>
      <c r="AP271" s="273">
        <f t="shared" si="3"/>
        <v>0</v>
      </c>
      <c r="AQ271" s="273">
        <v>287504.02821165323</v>
      </c>
      <c r="AR271" s="273">
        <v>-713293.0705164857</v>
      </c>
      <c r="AS271" s="273">
        <v>1</v>
      </c>
      <c r="AT271" s="273">
        <v>83133</v>
      </c>
      <c r="AU271" s="273">
        <v>0</v>
      </c>
      <c r="AV271" s="273">
        <v>0</v>
      </c>
      <c r="AW271" s="273">
        <v>0</v>
      </c>
      <c r="AX271" s="273">
        <v>0</v>
      </c>
      <c r="AY271" s="273">
        <v>834.05</v>
      </c>
      <c r="AZ271" s="273">
        <v>99.67388046280199</v>
      </c>
      <c r="BA271" s="273">
        <v>77880</v>
      </c>
      <c r="BB271" s="273">
        <v>0.9368120962794558</v>
      </c>
      <c r="BC271" s="273">
        <v>0</v>
      </c>
      <c r="BD271" s="273">
        <v>0</v>
      </c>
      <c r="BE271" s="273">
        <v>82528</v>
      </c>
      <c r="BF271" s="273">
        <v>83133</v>
      </c>
      <c r="BG271" s="273">
        <v>0.007330845288871656</v>
      </c>
      <c r="BH271" s="273">
        <v>0</v>
      </c>
      <c r="BI271" s="273">
        <v>2</v>
      </c>
      <c r="BJ271" s="273">
        <v>2.4057835035425162E-05</v>
      </c>
      <c r="BK271" s="273">
        <v>15520446.602648493</v>
      </c>
      <c r="BL271" s="273">
        <v>5880.45</v>
      </c>
    </row>
    <row r="272" spans="6:64" s="273" customFormat="1" ht="12.75">
      <c r="F272" s="273">
        <v>611</v>
      </c>
      <c r="G272" s="273" t="s">
        <v>207</v>
      </c>
      <c r="H272" s="273">
        <v>544</v>
      </c>
      <c r="I272" s="273">
        <v>84</v>
      </c>
      <c r="J272" s="273">
        <v>582</v>
      </c>
      <c r="K272" s="273">
        <v>264</v>
      </c>
      <c r="L272" s="273">
        <v>4003</v>
      </c>
      <c r="M272" s="273">
        <v>333</v>
      </c>
      <c r="N272" s="273">
        <v>173</v>
      </c>
      <c r="O272" s="273">
        <v>69</v>
      </c>
      <c r="P272" s="273">
        <v>5122</v>
      </c>
      <c r="Q272" s="273">
        <v>23</v>
      </c>
      <c r="R272" s="273">
        <v>11</v>
      </c>
      <c r="S272" s="273">
        <v>146.5</v>
      </c>
      <c r="T272" s="273">
        <v>34.96245733788396</v>
      </c>
      <c r="U272" s="273">
        <v>0</v>
      </c>
      <c r="V272" s="273">
        <v>0</v>
      </c>
      <c r="W272" s="273">
        <v>2331</v>
      </c>
      <c r="X272" s="273">
        <v>87</v>
      </c>
      <c r="Y272" s="273">
        <v>20</v>
      </c>
      <c r="Z272" s="273">
        <v>1.0023336627590107</v>
      </c>
      <c r="AA272" s="273">
        <v>3</v>
      </c>
      <c r="AB272" s="273">
        <v>2</v>
      </c>
      <c r="AC272" s="273">
        <v>0.25261584819859606</v>
      </c>
      <c r="AD272" s="273">
        <v>92</v>
      </c>
      <c r="AE272" s="273">
        <v>41</v>
      </c>
      <c r="AF272" s="273">
        <v>6</v>
      </c>
      <c r="AG272" s="273">
        <v>0</v>
      </c>
      <c r="AH272" s="273">
        <v>139</v>
      </c>
      <c r="AI272" s="273">
        <v>0.5395885473871919</v>
      </c>
      <c r="AJ272" s="273">
        <v>2473</v>
      </c>
      <c r="AK272" s="273">
        <v>112</v>
      </c>
      <c r="AL272" s="273">
        <v>0.47917064771594436</v>
      </c>
      <c r="AM272" s="273">
        <v>0.563103807859729</v>
      </c>
      <c r="AN272" s="273">
        <v>0</v>
      </c>
      <c r="AO272" s="273">
        <v>0</v>
      </c>
      <c r="AP272" s="273">
        <f t="shared" si="3"/>
        <v>0</v>
      </c>
      <c r="AQ272" s="273">
        <v>-66364.87476905528</v>
      </c>
      <c r="AR272" s="273">
        <v>590874.0424153826</v>
      </c>
      <c r="AS272" s="273">
        <v>1</v>
      </c>
      <c r="AT272" s="273">
        <v>5122</v>
      </c>
      <c r="AU272" s="273">
        <v>0</v>
      </c>
      <c r="AV272" s="273">
        <v>0</v>
      </c>
      <c r="AW272" s="273">
        <v>0</v>
      </c>
      <c r="AX272" s="273">
        <v>0</v>
      </c>
      <c r="AY272" s="273">
        <v>146.5</v>
      </c>
      <c r="AZ272" s="273">
        <v>34.96245733788396</v>
      </c>
      <c r="BA272" s="273">
        <v>2897</v>
      </c>
      <c r="BB272" s="273">
        <v>0.5655993752440452</v>
      </c>
      <c r="BC272" s="273">
        <v>0</v>
      </c>
      <c r="BD272" s="273">
        <v>0</v>
      </c>
      <c r="BE272" s="273">
        <v>4975</v>
      </c>
      <c r="BF272" s="273">
        <v>5122</v>
      </c>
      <c r="BG272" s="273">
        <v>0.029547738693467336</v>
      </c>
      <c r="BH272" s="273">
        <v>0</v>
      </c>
      <c r="BI272" s="273">
        <v>0</v>
      </c>
      <c r="BJ272" s="273">
        <v>0</v>
      </c>
      <c r="BK272" s="273">
        <v>714098.8890000524</v>
      </c>
      <c r="BL272" s="273">
        <v>5973.36</v>
      </c>
    </row>
    <row r="273" spans="6:64" s="273" customFormat="1" ht="12.75">
      <c r="F273" s="273">
        <v>638</v>
      </c>
      <c r="G273" s="273" t="s">
        <v>208</v>
      </c>
      <c r="H273" s="273">
        <v>3963</v>
      </c>
      <c r="I273" s="273">
        <v>602</v>
      </c>
      <c r="J273" s="273">
        <v>3571</v>
      </c>
      <c r="K273" s="273">
        <v>1810</v>
      </c>
      <c r="L273" s="273">
        <v>36857</v>
      </c>
      <c r="M273" s="273">
        <v>4675</v>
      </c>
      <c r="N273" s="273">
        <v>2419</v>
      </c>
      <c r="O273" s="273">
        <v>919</v>
      </c>
      <c r="P273" s="273">
        <v>48833</v>
      </c>
      <c r="Q273" s="273">
        <v>1745</v>
      </c>
      <c r="R273" s="273">
        <v>276</v>
      </c>
      <c r="S273" s="273">
        <v>654.52</v>
      </c>
      <c r="T273" s="273">
        <v>74.60887367842084</v>
      </c>
      <c r="U273" s="273">
        <v>1</v>
      </c>
      <c r="V273" s="273">
        <v>1</v>
      </c>
      <c r="W273" s="273">
        <v>22438</v>
      </c>
      <c r="X273" s="273">
        <v>342</v>
      </c>
      <c r="Y273" s="273">
        <v>217</v>
      </c>
      <c r="Z273" s="273">
        <v>1.024384813245835</v>
      </c>
      <c r="AA273" s="273">
        <v>58</v>
      </c>
      <c r="AB273" s="273">
        <v>58</v>
      </c>
      <c r="AC273" s="273">
        <v>0.7683954059697962</v>
      </c>
      <c r="AD273" s="273">
        <v>1495</v>
      </c>
      <c r="AE273" s="273">
        <v>303</v>
      </c>
      <c r="AF273" s="273">
        <v>81</v>
      </c>
      <c r="AG273" s="273">
        <v>11</v>
      </c>
      <c r="AH273" s="273">
        <v>1890</v>
      </c>
      <c r="AI273" s="273">
        <v>0.76954832260728</v>
      </c>
      <c r="AJ273" s="273">
        <v>24627</v>
      </c>
      <c r="AK273" s="273">
        <v>1899</v>
      </c>
      <c r="AL273" s="273">
        <v>0.8158489424394489</v>
      </c>
      <c r="AM273" s="273">
        <v>0.745872091604959</v>
      </c>
      <c r="AN273" s="273">
        <v>0</v>
      </c>
      <c r="AO273" s="273">
        <v>0</v>
      </c>
      <c r="AP273" s="273">
        <f t="shared" si="3"/>
        <v>0</v>
      </c>
      <c r="AQ273" s="273">
        <v>-441406.7972930819</v>
      </c>
      <c r="AR273" s="273">
        <v>-11392999.714667168</v>
      </c>
      <c r="AS273" s="273">
        <v>1</v>
      </c>
      <c r="AT273" s="273">
        <v>48833</v>
      </c>
      <c r="AU273" s="273">
        <v>1</v>
      </c>
      <c r="AV273" s="273">
        <v>1818</v>
      </c>
      <c r="AW273" s="273">
        <v>0.03722892306432126</v>
      </c>
      <c r="AX273" s="273">
        <v>0</v>
      </c>
      <c r="AY273" s="273">
        <v>654.52</v>
      </c>
      <c r="AZ273" s="273">
        <v>74.60887367842084</v>
      </c>
      <c r="BA273" s="273">
        <v>40221</v>
      </c>
      <c r="BB273" s="273">
        <v>0.8236438473982758</v>
      </c>
      <c r="BC273" s="273">
        <v>1</v>
      </c>
      <c r="BD273" s="273">
        <v>0</v>
      </c>
      <c r="BE273" s="273">
        <v>48227</v>
      </c>
      <c r="BF273" s="273">
        <v>48833</v>
      </c>
      <c r="BG273" s="273">
        <v>0.012565575300143073</v>
      </c>
      <c r="BH273" s="273">
        <v>0</v>
      </c>
      <c r="BI273" s="273">
        <v>1</v>
      </c>
      <c r="BJ273" s="273">
        <v>2.0477955480924785E-05</v>
      </c>
      <c r="BK273" s="273">
        <v>7204015.364005833</v>
      </c>
      <c r="BL273" s="273">
        <v>6419.83</v>
      </c>
    </row>
    <row r="274" spans="6:64" s="273" customFormat="1" ht="12.75">
      <c r="F274" s="273">
        <v>614</v>
      </c>
      <c r="G274" s="273" t="s">
        <v>209</v>
      </c>
      <c r="H274" s="273">
        <v>146</v>
      </c>
      <c r="I274" s="273">
        <v>23</v>
      </c>
      <c r="J274" s="273">
        <v>196</v>
      </c>
      <c r="K274" s="273">
        <v>132</v>
      </c>
      <c r="L274" s="273">
        <v>2641</v>
      </c>
      <c r="M274" s="273">
        <v>587</v>
      </c>
      <c r="N274" s="273">
        <v>352</v>
      </c>
      <c r="O274" s="273">
        <v>92</v>
      </c>
      <c r="P274" s="273">
        <v>3818</v>
      </c>
      <c r="Q274" s="273">
        <v>2</v>
      </c>
      <c r="R274" s="273">
        <v>2</v>
      </c>
      <c r="S274" s="273">
        <v>3038.86</v>
      </c>
      <c r="T274" s="273">
        <v>1.2563921997064689</v>
      </c>
      <c r="U274" s="273">
        <v>0</v>
      </c>
      <c r="V274" s="273">
        <v>0</v>
      </c>
      <c r="W274" s="273">
        <v>1317</v>
      </c>
      <c r="X274" s="273">
        <v>262</v>
      </c>
      <c r="Y274" s="273">
        <v>17</v>
      </c>
      <c r="Z274" s="273">
        <v>0.8280019989945817</v>
      </c>
      <c r="AA274" s="273">
        <v>3</v>
      </c>
      <c r="AB274" s="273">
        <v>2</v>
      </c>
      <c r="AC274" s="273">
        <v>0.3388942835183889</v>
      </c>
      <c r="AD274" s="273">
        <v>341</v>
      </c>
      <c r="AE274" s="273">
        <v>21</v>
      </c>
      <c r="AF274" s="273">
        <v>9</v>
      </c>
      <c r="AG274" s="273">
        <v>9</v>
      </c>
      <c r="AH274" s="273">
        <v>380</v>
      </c>
      <c r="AI274" s="273">
        <v>1.9789515869405707</v>
      </c>
      <c r="AJ274" s="273">
        <v>1622</v>
      </c>
      <c r="AK274" s="273">
        <v>250</v>
      </c>
      <c r="AL274" s="273">
        <v>1.6307427610885077</v>
      </c>
      <c r="AM274" s="273">
        <v>1.82779970067398</v>
      </c>
      <c r="AN274" s="273">
        <v>0.0800000000000001</v>
      </c>
      <c r="AO274" s="273">
        <v>0</v>
      </c>
      <c r="AP274" s="273">
        <f t="shared" si="3"/>
        <v>0.0800000000000001</v>
      </c>
      <c r="AQ274" s="273">
        <v>-161676.7909724284</v>
      </c>
      <c r="AR274" s="273">
        <v>3639229.3790975623</v>
      </c>
      <c r="AS274" s="273">
        <v>1</v>
      </c>
      <c r="AT274" s="273">
        <v>3818</v>
      </c>
      <c r="AU274" s="273">
        <v>0</v>
      </c>
      <c r="AV274" s="273">
        <v>0</v>
      </c>
      <c r="AW274" s="273">
        <v>0</v>
      </c>
      <c r="AX274" s="273">
        <v>1.4972</v>
      </c>
      <c r="AY274" s="273">
        <v>3038.86</v>
      </c>
      <c r="AZ274" s="273">
        <v>1.2563921997064689</v>
      </c>
      <c r="BA274" s="273">
        <v>1512</v>
      </c>
      <c r="BB274" s="273">
        <v>0.39601885804085907</v>
      </c>
      <c r="BC274" s="273">
        <v>0</v>
      </c>
      <c r="BD274" s="273">
        <v>0</v>
      </c>
      <c r="BE274" s="273">
        <v>4020</v>
      </c>
      <c r="BF274" s="273">
        <v>3818</v>
      </c>
      <c r="BG274" s="273">
        <v>-0.050248756218905476</v>
      </c>
      <c r="BH274" s="273">
        <v>0</v>
      </c>
      <c r="BI274" s="273">
        <v>4</v>
      </c>
      <c r="BJ274" s="273">
        <v>0.0010476689366160294</v>
      </c>
      <c r="BK274" s="273">
        <v>963286.8960892987</v>
      </c>
      <c r="BL274" s="273">
        <v>8562.91</v>
      </c>
    </row>
    <row r="275" spans="6:64" s="273" customFormat="1" ht="12.75">
      <c r="F275" s="273">
        <v>615</v>
      </c>
      <c r="G275" s="273" t="s">
        <v>210</v>
      </c>
      <c r="H275" s="273">
        <v>625</v>
      </c>
      <c r="I275" s="273">
        <v>98</v>
      </c>
      <c r="J275" s="273">
        <v>578</v>
      </c>
      <c r="K275" s="273">
        <v>332</v>
      </c>
      <c r="L275" s="273">
        <v>6003</v>
      </c>
      <c r="M275" s="273">
        <v>1058</v>
      </c>
      <c r="N275" s="273">
        <v>763</v>
      </c>
      <c r="O275" s="273">
        <v>246</v>
      </c>
      <c r="P275" s="273">
        <v>8695</v>
      </c>
      <c r="Q275" s="273">
        <v>3</v>
      </c>
      <c r="R275" s="273">
        <v>7</v>
      </c>
      <c r="S275" s="273">
        <v>5637.73</v>
      </c>
      <c r="T275" s="273">
        <v>1.5422874100036719</v>
      </c>
      <c r="U275" s="273">
        <v>0</v>
      </c>
      <c r="V275" s="273">
        <v>0</v>
      </c>
      <c r="W275" s="273">
        <v>2775</v>
      </c>
      <c r="X275" s="273">
        <v>392</v>
      </c>
      <c r="Y275" s="273">
        <v>33</v>
      </c>
      <c r="Z275" s="273">
        <v>0.889661263617935</v>
      </c>
      <c r="AA275" s="273">
        <v>17</v>
      </c>
      <c r="AB275" s="273">
        <v>17</v>
      </c>
      <c r="AC275" s="273">
        <v>1.2648805270870933</v>
      </c>
      <c r="AD275" s="273">
        <v>678</v>
      </c>
      <c r="AE275" s="273">
        <v>55</v>
      </c>
      <c r="AF275" s="273">
        <v>16</v>
      </c>
      <c r="AG275" s="273">
        <v>6</v>
      </c>
      <c r="AH275" s="273">
        <v>755</v>
      </c>
      <c r="AI275" s="273">
        <v>1.7264931615262915</v>
      </c>
      <c r="AJ275" s="273">
        <v>3468</v>
      </c>
      <c r="AK275" s="273">
        <v>513</v>
      </c>
      <c r="AL275" s="273">
        <v>1.5650729193807287</v>
      </c>
      <c r="AM275" s="273">
        <v>1.94106183559664</v>
      </c>
      <c r="AN275" s="273">
        <v>0.0800000000000001</v>
      </c>
      <c r="AO275" s="273">
        <v>0</v>
      </c>
      <c r="AP275" s="273">
        <f t="shared" si="3"/>
        <v>0.0800000000000001</v>
      </c>
      <c r="AQ275" s="273">
        <v>-466887.4905638397</v>
      </c>
      <c r="AR275" s="273">
        <v>7784421.840536583</v>
      </c>
      <c r="AS275" s="273">
        <v>1</v>
      </c>
      <c r="AT275" s="273">
        <v>8695</v>
      </c>
      <c r="AU275" s="273">
        <v>0</v>
      </c>
      <c r="AV275" s="273">
        <v>0</v>
      </c>
      <c r="AW275" s="273">
        <v>0</v>
      </c>
      <c r="AX275" s="273">
        <v>1.3894333333333333</v>
      </c>
      <c r="AY275" s="273">
        <v>5637.73</v>
      </c>
      <c r="AZ275" s="273">
        <v>1.5422874100036719</v>
      </c>
      <c r="BA275" s="273">
        <v>4128</v>
      </c>
      <c r="BB275" s="273">
        <v>0.47475560667050026</v>
      </c>
      <c r="BC275" s="273">
        <v>0</v>
      </c>
      <c r="BD275" s="273">
        <v>0</v>
      </c>
      <c r="BE275" s="273">
        <v>9031</v>
      </c>
      <c r="BF275" s="273">
        <v>8695</v>
      </c>
      <c r="BG275" s="273">
        <v>-0.03720518215037094</v>
      </c>
      <c r="BH275" s="273">
        <v>0</v>
      </c>
      <c r="BI275" s="273">
        <v>0</v>
      </c>
      <c r="BJ275" s="273">
        <v>0</v>
      </c>
      <c r="BK275" s="273">
        <v>2192120.2130798283</v>
      </c>
      <c r="BL275" s="273">
        <v>8430</v>
      </c>
    </row>
    <row r="276" spans="6:64" s="273" customFormat="1" ht="12.75">
      <c r="F276" s="273">
        <v>616</v>
      </c>
      <c r="G276" s="273" t="s">
        <v>211</v>
      </c>
      <c r="H276" s="273">
        <v>149</v>
      </c>
      <c r="I276" s="273">
        <v>23</v>
      </c>
      <c r="J276" s="273">
        <v>158</v>
      </c>
      <c r="K276" s="273">
        <v>103</v>
      </c>
      <c r="L276" s="273">
        <v>1455</v>
      </c>
      <c r="M276" s="273">
        <v>241</v>
      </c>
      <c r="N276" s="273">
        <v>116</v>
      </c>
      <c r="O276" s="273">
        <v>55</v>
      </c>
      <c r="P276" s="273">
        <v>2016</v>
      </c>
      <c r="Q276" s="273">
        <v>2</v>
      </c>
      <c r="R276" s="273">
        <v>2</v>
      </c>
      <c r="S276" s="273">
        <v>145.04</v>
      </c>
      <c r="T276" s="273">
        <v>13.8996138996139</v>
      </c>
      <c r="U276" s="273">
        <v>0</v>
      </c>
      <c r="V276" s="273">
        <v>0</v>
      </c>
      <c r="W276" s="273">
        <v>874</v>
      </c>
      <c r="X276" s="273">
        <v>107</v>
      </c>
      <c r="Y276" s="273">
        <v>11</v>
      </c>
      <c r="Z276" s="273">
        <v>0.9087201737884345</v>
      </c>
      <c r="AA276" s="273">
        <v>8</v>
      </c>
      <c r="AB276" s="273">
        <v>8</v>
      </c>
      <c r="AC276" s="273">
        <v>2.567258679510335</v>
      </c>
      <c r="AD276" s="273">
        <v>72</v>
      </c>
      <c r="AE276" s="273">
        <v>24</v>
      </c>
      <c r="AG276" s="273">
        <v>3</v>
      </c>
      <c r="AH276" s="273">
        <v>99</v>
      </c>
      <c r="AI276" s="273">
        <v>0.9764098772125245</v>
      </c>
      <c r="AJ276" s="273">
        <v>944</v>
      </c>
      <c r="AK276" s="273">
        <v>51</v>
      </c>
      <c r="AL276" s="273">
        <v>0.571602977469337</v>
      </c>
      <c r="AM276" s="273">
        <v>0.505188388747145</v>
      </c>
      <c r="AN276" s="273">
        <v>0</v>
      </c>
      <c r="AO276" s="273">
        <v>0</v>
      </c>
      <c r="AP276" s="273">
        <f t="shared" si="3"/>
        <v>0</v>
      </c>
      <c r="AQ276" s="273">
        <v>50486.45994817</v>
      </c>
      <c r="AR276" s="273">
        <v>707173.7317692295</v>
      </c>
      <c r="AS276" s="273">
        <v>1</v>
      </c>
      <c r="AT276" s="273">
        <v>2016</v>
      </c>
      <c r="AU276" s="273">
        <v>0</v>
      </c>
      <c r="AV276" s="273">
        <v>0</v>
      </c>
      <c r="AW276" s="273">
        <v>0</v>
      </c>
      <c r="AX276" s="273">
        <v>0</v>
      </c>
      <c r="AY276" s="273">
        <v>145.04</v>
      </c>
      <c r="AZ276" s="273">
        <v>13.8996138996139</v>
      </c>
      <c r="BA276" s="273">
        <v>766</v>
      </c>
      <c r="BB276" s="273">
        <v>0.37996031746031744</v>
      </c>
      <c r="BC276" s="273">
        <v>0</v>
      </c>
      <c r="BD276" s="273">
        <v>0</v>
      </c>
      <c r="BE276" s="273">
        <v>2025</v>
      </c>
      <c r="BF276" s="273">
        <v>2016</v>
      </c>
      <c r="BG276" s="273">
        <v>-0.0044444444444444444</v>
      </c>
      <c r="BH276" s="273">
        <v>0</v>
      </c>
      <c r="BI276" s="273">
        <v>0</v>
      </c>
      <c r="BJ276" s="273">
        <v>0</v>
      </c>
      <c r="BK276" s="273">
        <v>373706.33042242617</v>
      </c>
      <c r="BL276" s="273">
        <v>6578.72</v>
      </c>
    </row>
    <row r="277" spans="6:64" s="273" customFormat="1" ht="12.75">
      <c r="F277" s="273">
        <v>619</v>
      </c>
      <c r="G277" s="273" t="s">
        <v>212</v>
      </c>
      <c r="H277" s="273">
        <v>179</v>
      </c>
      <c r="I277" s="273">
        <v>30</v>
      </c>
      <c r="J277" s="273">
        <v>174</v>
      </c>
      <c r="K277" s="273">
        <v>117</v>
      </c>
      <c r="L277" s="273">
        <v>2131</v>
      </c>
      <c r="M277" s="273">
        <v>411</v>
      </c>
      <c r="N277" s="273">
        <v>376</v>
      </c>
      <c r="O277" s="273">
        <v>139</v>
      </c>
      <c r="P277" s="273">
        <v>3236</v>
      </c>
      <c r="Q277" s="273">
        <v>0</v>
      </c>
      <c r="R277" s="273">
        <v>20</v>
      </c>
      <c r="S277" s="273">
        <v>361.07</v>
      </c>
      <c r="T277" s="273">
        <v>8.962251087046834</v>
      </c>
      <c r="U277" s="273">
        <v>0</v>
      </c>
      <c r="V277" s="273">
        <v>0</v>
      </c>
      <c r="W277" s="273">
        <v>1230</v>
      </c>
      <c r="X277" s="273">
        <v>272</v>
      </c>
      <c r="Y277" s="273">
        <v>17</v>
      </c>
      <c r="Z277" s="273">
        <v>0.803719154524796</v>
      </c>
      <c r="AA277" s="273">
        <v>3</v>
      </c>
      <c r="AB277" s="273">
        <v>2</v>
      </c>
      <c r="AC277" s="273">
        <v>0.39984498593115225</v>
      </c>
      <c r="AD277" s="273">
        <v>228</v>
      </c>
      <c r="AE277" s="273">
        <v>21</v>
      </c>
      <c r="AF277" s="273">
        <v>8</v>
      </c>
      <c r="AG277" s="273">
        <v>3</v>
      </c>
      <c r="AH277" s="273">
        <v>260</v>
      </c>
      <c r="AI277" s="273">
        <v>1.5975421746504503</v>
      </c>
      <c r="AJ277" s="273">
        <v>1352</v>
      </c>
      <c r="AK277" s="273">
        <v>85</v>
      </c>
      <c r="AL277" s="273">
        <v>0.6651790073114572</v>
      </c>
      <c r="AM277" s="273">
        <v>1.09958048591486</v>
      </c>
      <c r="AN277" s="273">
        <v>0</v>
      </c>
      <c r="AO277" s="273">
        <v>0</v>
      </c>
      <c r="AP277" s="273">
        <f t="shared" si="3"/>
        <v>0</v>
      </c>
      <c r="AQ277" s="273">
        <v>164582.84655112214</v>
      </c>
      <c r="AR277" s="273">
        <v>2899071.8755076914</v>
      </c>
      <c r="AS277" s="273">
        <v>1</v>
      </c>
      <c r="AT277" s="273">
        <v>3236</v>
      </c>
      <c r="AU277" s="273">
        <v>0</v>
      </c>
      <c r="AV277" s="273">
        <v>0</v>
      </c>
      <c r="AW277" s="273">
        <v>0</v>
      </c>
      <c r="AX277" s="273">
        <v>0</v>
      </c>
      <c r="AY277" s="273">
        <v>361.07</v>
      </c>
      <c r="AZ277" s="273">
        <v>8.962251087046834</v>
      </c>
      <c r="BA277" s="273">
        <v>1367</v>
      </c>
      <c r="BB277" s="273">
        <v>0.42243510506798515</v>
      </c>
      <c r="BC277" s="273">
        <v>0</v>
      </c>
      <c r="BD277" s="273">
        <v>0</v>
      </c>
      <c r="BE277" s="273">
        <v>3373</v>
      </c>
      <c r="BF277" s="273">
        <v>3236</v>
      </c>
      <c r="BG277" s="273">
        <v>-0.04061666172546694</v>
      </c>
      <c r="BH277" s="273">
        <v>0</v>
      </c>
      <c r="BI277" s="273">
        <v>0</v>
      </c>
      <c r="BJ277" s="273">
        <v>0</v>
      </c>
      <c r="BK277" s="273">
        <v>733528.7867758942</v>
      </c>
      <c r="BL277" s="273">
        <v>6938.14</v>
      </c>
    </row>
    <row r="278" spans="6:64" s="273" customFormat="1" ht="12.75">
      <c r="F278" s="273">
        <v>620</v>
      </c>
      <c r="G278" s="273" t="s">
        <v>213</v>
      </c>
      <c r="H278" s="273">
        <v>125</v>
      </c>
      <c r="I278" s="273">
        <v>17</v>
      </c>
      <c r="J278" s="273">
        <v>157</v>
      </c>
      <c r="K278" s="273">
        <v>102</v>
      </c>
      <c r="L278" s="273">
        <v>2041</v>
      </c>
      <c r="M278" s="273">
        <v>436</v>
      </c>
      <c r="N278" s="273">
        <v>306</v>
      </c>
      <c r="O278" s="273">
        <v>89</v>
      </c>
      <c r="P278" s="273">
        <v>2997</v>
      </c>
      <c r="Q278" s="273">
        <v>0</v>
      </c>
      <c r="R278" s="273">
        <v>1</v>
      </c>
      <c r="S278" s="273">
        <v>2461.42</v>
      </c>
      <c r="T278" s="273">
        <v>1.2175898465113633</v>
      </c>
      <c r="U278" s="273">
        <v>0</v>
      </c>
      <c r="V278" s="273">
        <v>0</v>
      </c>
      <c r="W278" s="273">
        <v>985</v>
      </c>
      <c r="X278" s="273">
        <v>190</v>
      </c>
      <c r="Y278" s="273">
        <v>17</v>
      </c>
      <c r="Z278" s="273">
        <v>0.8297804018092411</v>
      </c>
      <c r="AA278" s="273">
        <v>6</v>
      </c>
      <c r="AB278" s="273">
        <v>6</v>
      </c>
      <c r="AC278" s="273">
        <v>1.29519356804125</v>
      </c>
      <c r="AD278" s="273">
        <v>291</v>
      </c>
      <c r="AE278" s="273">
        <v>13</v>
      </c>
      <c r="AF278" s="273">
        <v>4</v>
      </c>
      <c r="AG278" s="273">
        <v>0</v>
      </c>
      <c r="AH278" s="273">
        <v>308</v>
      </c>
      <c r="AI278" s="273">
        <v>2.043390974266585</v>
      </c>
      <c r="AJ278" s="273">
        <v>1200</v>
      </c>
      <c r="AK278" s="273">
        <v>172</v>
      </c>
      <c r="AL278" s="273">
        <v>1.516503794865054</v>
      </c>
      <c r="AM278" s="273">
        <v>2.10392235574966</v>
      </c>
      <c r="AN278" s="273">
        <v>0.17</v>
      </c>
      <c r="AO278" s="273">
        <v>0</v>
      </c>
      <c r="AP278" s="273">
        <f t="shared" si="3"/>
        <v>0.17</v>
      </c>
      <c r="AQ278" s="273">
        <v>-69019.54834536463</v>
      </c>
      <c r="AR278" s="273">
        <v>2324393.4782849983</v>
      </c>
      <c r="AS278" s="273">
        <v>0</v>
      </c>
      <c r="AT278" s="273">
        <v>2997</v>
      </c>
      <c r="AU278" s="273">
        <v>0</v>
      </c>
      <c r="AV278" s="273">
        <v>0</v>
      </c>
      <c r="AW278" s="273">
        <v>0</v>
      </c>
      <c r="AX278" s="273">
        <v>1.6508166666666666</v>
      </c>
      <c r="AY278" s="273">
        <v>2461.42</v>
      </c>
      <c r="AZ278" s="273">
        <v>1.2175898465113633</v>
      </c>
      <c r="BA278" s="273">
        <v>1660</v>
      </c>
      <c r="BB278" s="273">
        <v>0.5538872205538872</v>
      </c>
      <c r="BC278" s="273">
        <v>0</v>
      </c>
      <c r="BD278" s="273">
        <v>0</v>
      </c>
      <c r="BE278" s="273">
        <v>3183</v>
      </c>
      <c r="BF278" s="273">
        <v>2997</v>
      </c>
      <c r="BG278" s="273">
        <v>-0.058435438265786996</v>
      </c>
      <c r="BH278" s="273">
        <v>0</v>
      </c>
      <c r="BI278" s="273">
        <v>0</v>
      </c>
      <c r="BJ278" s="273">
        <v>0</v>
      </c>
      <c r="BK278" s="273">
        <v>814224.7524841604</v>
      </c>
      <c r="BL278" s="273">
        <v>8584.74</v>
      </c>
    </row>
    <row r="279" spans="6:64" s="273" customFormat="1" ht="12.75">
      <c r="F279" s="273">
        <v>623</v>
      </c>
      <c r="G279" s="273" t="s">
        <v>214</v>
      </c>
      <c r="H279" s="273">
        <v>89</v>
      </c>
      <c r="I279" s="273">
        <v>20</v>
      </c>
      <c r="J279" s="273">
        <v>100</v>
      </c>
      <c r="K279" s="273">
        <v>63</v>
      </c>
      <c r="L279" s="273">
        <v>1558</v>
      </c>
      <c r="M279" s="273">
        <v>398</v>
      </c>
      <c r="N279" s="273">
        <v>258</v>
      </c>
      <c r="O279" s="273">
        <v>116</v>
      </c>
      <c r="P279" s="273">
        <v>2419</v>
      </c>
      <c r="Q279" s="273">
        <v>0</v>
      </c>
      <c r="R279" s="273">
        <v>0</v>
      </c>
      <c r="S279" s="273">
        <v>794.53</v>
      </c>
      <c r="T279" s="273">
        <v>3.0445672284243517</v>
      </c>
      <c r="U279" s="273">
        <v>2</v>
      </c>
      <c r="V279" s="273">
        <v>0</v>
      </c>
      <c r="W279" s="273">
        <v>885</v>
      </c>
      <c r="X279" s="273">
        <v>180</v>
      </c>
      <c r="Y279" s="273">
        <v>22</v>
      </c>
      <c r="Z279" s="273">
        <v>0.8107691955603619</v>
      </c>
      <c r="AA279" s="273">
        <v>0</v>
      </c>
      <c r="AB279" s="273">
        <v>2</v>
      </c>
      <c r="AC279" s="273">
        <v>0.5348897786164567</v>
      </c>
      <c r="AD279" s="273">
        <v>217</v>
      </c>
      <c r="AE279" s="273">
        <v>9</v>
      </c>
      <c r="AF279" s="273">
        <v>1</v>
      </c>
      <c r="AG279" s="273">
        <v>2</v>
      </c>
      <c r="AH279" s="273">
        <v>229</v>
      </c>
      <c r="AI279" s="273">
        <v>1.8822924973314916</v>
      </c>
      <c r="AJ279" s="273">
        <v>1033</v>
      </c>
      <c r="AK279" s="273">
        <v>107</v>
      </c>
      <c r="AL279" s="273">
        <v>1.0959222813473566</v>
      </c>
      <c r="AM279" s="273">
        <v>1.49430402143987</v>
      </c>
      <c r="AN279" s="273">
        <v>0.05</v>
      </c>
      <c r="AO279" s="273">
        <v>0</v>
      </c>
      <c r="AP279" s="273">
        <f t="shared" si="3"/>
        <v>0.05</v>
      </c>
      <c r="AQ279" s="273">
        <v>270448.9247596208</v>
      </c>
      <c r="AR279" s="273">
        <v>1253801.2111999998</v>
      </c>
      <c r="AS279" s="273">
        <v>1</v>
      </c>
      <c r="AT279" s="273">
        <v>2419</v>
      </c>
      <c r="AU279" s="273">
        <v>2</v>
      </c>
      <c r="AV279" s="273">
        <v>0</v>
      </c>
      <c r="AW279" s="273">
        <v>0</v>
      </c>
      <c r="AX279" s="273">
        <v>0.7692666666666667</v>
      </c>
      <c r="AY279" s="273">
        <v>794.53</v>
      </c>
      <c r="AZ279" s="273">
        <v>3.0445672284243517</v>
      </c>
      <c r="BA279" s="273">
        <v>1241</v>
      </c>
      <c r="BB279" s="273">
        <v>0.5130219098801158</v>
      </c>
      <c r="BC279" s="273">
        <v>0</v>
      </c>
      <c r="BD279" s="273">
        <v>0</v>
      </c>
      <c r="BE279" s="273">
        <v>2645</v>
      </c>
      <c r="BF279" s="273">
        <v>2419</v>
      </c>
      <c r="BG279" s="273">
        <v>-0.08544423440453686</v>
      </c>
      <c r="BH279" s="273">
        <v>1</v>
      </c>
      <c r="BI279" s="273">
        <v>0</v>
      </c>
      <c r="BJ279" s="273">
        <v>0</v>
      </c>
      <c r="BK279" s="273">
        <v>616236.4621075073</v>
      </c>
      <c r="BL279" s="273">
        <v>8263.44</v>
      </c>
    </row>
    <row r="280" spans="6:64" s="273" customFormat="1" ht="12.75">
      <c r="F280" s="273">
        <v>624</v>
      </c>
      <c r="G280" s="273" t="s">
        <v>215</v>
      </c>
      <c r="H280" s="273">
        <v>397</v>
      </c>
      <c r="I280" s="273">
        <v>65</v>
      </c>
      <c r="J280" s="273">
        <v>345</v>
      </c>
      <c r="K280" s="273">
        <v>216</v>
      </c>
      <c r="L280" s="273">
        <v>3850</v>
      </c>
      <c r="M280" s="273">
        <v>618</v>
      </c>
      <c r="N280" s="273">
        <v>374</v>
      </c>
      <c r="O280" s="273">
        <v>133</v>
      </c>
      <c r="P280" s="273">
        <v>5372</v>
      </c>
      <c r="Q280" s="273">
        <v>45</v>
      </c>
      <c r="R280" s="273">
        <v>19</v>
      </c>
      <c r="S280" s="273">
        <v>324.72</v>
      </c>
      <c r="T280" s="273">
        <v>16.543483616654346</v>
      </c>
      <c r="U280" s="273">
        <v>1</v>
      </c>
      <c r="V280" s="273">
        <v>1</v>
      </c>
      <c r="W280" s="273">
        <v>2171</v>
      </c>
      <c r="X280" s="273">
        <v>127</v>
      </c>
      <c r="Y280" s="273">
        <v>33</v>
      </c>
      <c r="Z280" s="273">
        <v>0.9731326720996258</v>
      </c>
      <c r="AA280" s="273">
        <v>5</v>
      </c>
      <c r="AB280" s="273">
        <v>5</v>
      </c>
      <c r="AC280" s="273">
        <v>0.6021492807488872</v>
      </c>
      <c r="AD280" s="273">
        <v>241</v>
      </c>
      <c r="AE280" s="273">
        <v>37</v>
      </c>
      <c r="AF280" s="273">
        <v>5</v>
      </c>
      <c r="AG280" s="273">
        <v>7</v>
      </c>
      <c r="AH280" s="273">
        <v>290</v>
      </c>
      <c r="AI280" s="273">
        <v>1.0733700944920732</v>
      </c>
      <c r="AJ280" s="273">
        <v>2447</v>
      </c>
      <c r="AK280" s="273">
        <v>233</v>
      </c>
      <c r="AL280" s="273">
        <v>1.0074378238285824</v>
      </c>
      <c r="AM280" s="273">
        <v>1.03112290221231</v>
      </c>
      <c r="AN280" s="273">
        <v>0</v>
      </c>
      <c r="AO280" s="273">
        <v>0</v>
      </c>
      <c r="AP280" s="273">
        <f t="shared" si="3"/>
        <v>0</v>
      </c>
      <c r="AQ280" s="273">
        <v>190396.44915563427</v>
      </c>
      <c r="AR280" s="273">
        <v>495049.0471949386</v>
      </c>
      <c r="AS280" s="273">
        <v>1</v>
      </c>
      <c r="AT280" s="273">
        <v>5372</v>
      </c>
      <c r="AU280" s="273">
        <v>1</v>
      </c>
      <c r="AV280" s="273">
        <v>198</v>
      </c>
      <c r="AW280" s="273">
        <v>0.036857781087118395</v>
      </c>
      <c r="AX280" s="273">
        <v>0</v>
      </c>
      <c r="AY280" s="273">
        <v>324.72</v>
      </c>
      <c r="AZ280" s="273">
        <v>16.543483616654346</v>
      </c>
      <c r="BA280" s="273">
        <v>3869</v>
      </c>
      <c r="BB280" s="273">
        <v>0.7202159344750558</v>
      </c>
      <c r="BC280" s="273">
        <v>1</v>
      </c>
      <c r="BD280" s="273">
        <v>0</v>
      </c>
      <c r="BE280" s="273">
        <v>5123</v>
      </c>
      <c r="BF280" s="273">
        <v>5372</v>
      </c>
      <c r="BG280" s="273">
        <v>0.048604333398399376</v>
      </c>
      <c r="BH280" s="273">
        <v>0</v>
      </c>
      <c r="BI280" s="273">
        <v>0</v>
      </c>
      <c r="BJ280" s="273">
        <v>0</v>
      </c>
      <c r="BK280" s="273">
        <v>830121.8778961592</v>
      </c>
      <c r="BL280" s="273">
        <v>6813.02</v>
      </c>
    </row>
    <row r="281" spans="6:64" s="273" customFormat="1" ht="12.75">
      <c r="F281" s="273">
        <v>625</v>
      </c>
      <c r="G281" s="273" t="s">
        <v>216</v>
      </c>
      <c r="H281" s="273">
        <v>291</v>
      </c>
      <c r="I281" s="273">
        <v>39</v>
      </c>
      <c r="J281" s="273">
        <v>242</v>
      </c>
      <c r="K281" s="273">
        <v>115</v>
      </c>
      <c r="L281" s="273">
        <v>2356</v>
      </c>
      <c r="M281" s="273">
        <v>363</v>
      </c>
      <c r="N281" s="273">
        <v>249</v>
      </c>
      <c r="O281" s="273">
        <v>102</v>
      </c>
      <c r="P281" s="273">
        <v>3361</v>
      </c>
      <c r="Q281" s="273">
        <v>4</v>
      </c>
      <c r="R281" s="273">
        <v>6</v>
      </c>
      <c r="S281" s="273">
        <v>542.33</v>
      </c>
      <c r="T281" s="273">
        <v>6.197333726697766</v>
      </c>
      <c r="U281" s="273">
        <v>0</v>
      </c>
      <c r="V281" s="273">
        <v>0</v>
      </c>
      <c r="W281" s="273">
        <v>1243</v>
      </c>
      <c r="X281" s="273">
        <v>146</v>
      </c>
      <c r="Y281" s="273">
        <v>16</v>
      </c>
      <c r="Z281" s="273">
        <v>0.913638457770148</v>
      </c>
      <c r="AA281" s="273">
        <v>0</v>
      </c>
      <c r="AB281" s="273">
        <v>2</v>
      </c>
      <c r="AC281" s="273">
        <v>0.3849742262639717</v>
      </c>
      <c r="AD281" s="273">
        <v>182</v>
      </c>
      <c r="AE281" s="273">
        <v>23</v>
      </c>
      <c r="AF281" s="273">
        <v>5</v>
      </c>
      <c r="AG281" s="273">
        <v>1</v>
      </c>
      <c r="AH281" s="273">
        <v>211</v>
      </c>
      <c r="AI281" s="273">
        <v>1.248249612847171</v>
      </c>
      <c r="AJ281" s="273">
        <v>1469</v>
      </c>
      <c r="AK281" s="273">
        <v>117</v>
      </c>
      <c r="AL281" s="273">
        <v>0.8426754982785852</v>
      </c>
      <c r="AM281" s="273">
        <v>1.33325515916934</v>
      </c>
      <c r="AN281" s="273">
        <v>0</v>
      </c>
      <c r="AO281" s="273">
        <v>0</v>
      </c>
      <c r="AP281" s="273">
        <f t="shared" si="3"/>
        <v>0</v>
      </c>
      <c r="AQ281" s="273">
        <v>-15316.170387493446</v>
      </c>
      <c r="AR281" s="273">
        <v>1921058.8630683536</v>
      </c>
      <c r="AS281" s="273">
        <v>1</v>
      </c>
      <c r="AT281" s="273">
        <v>3361</v>
      </c>
      <c r="AU281" s="273">
        <v>0</v>
      </c>
      <c r="AV281" s="273">
        <v>0</v>
      </c>
      <c r="AW281" s="273">
        <v>0</v>
      </c>
      <c r="AX281" s="273">
        <v>0.1678</v>
      </c>
      <c r="AY281" s="273">
        <v>542.33</v>
      </c>
      <c r="AZ281" s="273">
        <v>6.197333726697766</v>
      </c>
      <c r="BA281" s="273">
        <v>2246</v>
      </c>
      <c r="BB281" s="273">
        <v>0.6682534959833383</v>
      </c>
      <c r="BC281" s="273">
        <v>0</v>
      </c>
      <c r="BD281" s="273">
        <v>0</v>
      </c>
      <c r="BE281" s="273">
        <v>3353</v>
      </c>
      <c r="BF281" s="273">
        <v>3361</v>
      </c>
      <c r="BG281" s="273">
        <v>0.0023859230539815092</v>
      </c>
      <c r="BH281" s="273">
        <v>0</v>
      </c>
      <c r="BI281" s="273">
        <v>0</v>
      </c>
      <c r="BJ281" s="273">
        <v>0</v>
      </c>
      <c r="BK281" s="273">
        <v>610926.7972916827</v>
      </c>
      <c r="BL281" s="273">
        <v>7146.37</v>
      </c>
    </row>
    <row r="282" spans="6:64" s="273" customFormat="1" ht="12.75">
      <c r="F282" s="273">
        <v>626</v>
      </c>
      <c r="G282" s="273" t="s">
        <v>217</v>
      </c>
      <c r="H282" s="273">
        <v>418</v>
      </c>
      <c r="I282" s="273">
        <v>68</v>
      </c>
      <c r="J282" s="273">
        <v>305</v>
      </c>
      <c r="K282" s="273">
        <v>197</v>
      </c>
      <c r="L282" s="273">
        <v>3926</v>
      </c>
      <c r="M282" s="273">
        <v>773</v>
      </c>
      <c r="N282" s="273">
        <v>551</v>
      </c>
      <c r="O282" s="273">
        <v>219</v>
      </c>
      <c r="P282" s="273">
        <v>5887</v>
      </c>
      <c r="Q282" s="273">
        <v>2</v>
      </c>
      <c r="R282" s="273">
        <v>1</v>
      </c>
      <c r="S282" s="273">
        <v>1311</v>
      </c>
      <c r="T282" s="273">
        <v>4.490465293668955</v>
      </c>
      <c r="U282" s="273">
        <v>0</v>
      </c>
      <c r="V282" s="273">
        <v>0</v>
      </c>
      <c r="W282" s="273">
        <v>1936</v>
      </c>
      <c r="X282" s="273">
        <v>291</v>
      </c>
      <c r="Y282" s="273">
        <v>19</v>
      </c>
      <c r="Z282" s="273">
        <v>0.8823380232621911</v>
      </c>
      <c r="AA282" s="273">
        <v>9</v>
      </c>
      <c r="AB282" s="273">
        <v>9</v>
      </c>
      <c r="AC282" s="273">
        <v>0.9890509062560625</v>
      </c>
      <c r="AD282" s="273">
        <v>468</v>
      </c>
      <c r="AE282" s="273">
        <v>43</v>
      </c>
      <c r="AF282" s="273">
        <v>11</v>
      </c>
      <c r="AG282" s="273">
        <v>4</v>
      </c>
      <c r="AH282" s="273">
        <v>526</v>
      </c>
      <c r="AI282" s="273">
        <v>1.776557242810638</v>
      </c>
      <c r="AJ282" s="273">
        <v>2358</v>
      </c>
      <c r="AK282" s="273">
        <v>260</v>
      </c>
      <c r="AL282" s="273">
        <v>1.1666104108672526</v>
      </c>
      <c r="AM282" s="273">
        <v>1.95716699514452</v>
      </c>
      <c r="AN282" s="273">
        <v>0.05</v>
      </c>
      <c r="AO282" s="273">
        <v>0</v>
      </c>
      <c r="AP282" s="273">
        <f t="shared" si="3"/>
        <v>0.05</v>
      </c>
      <c r="AQ282" s="273">
        <v>-60032.6572009027</v>
      </c>
      <c r="AR282" s="273">
        <v>1500173.990810124</v>
      </c>
      <c r="AS282" s="273">
        <v>1</v>
      </c>
      <c r="AT282" s="273">
        <v>5887</v>
      </c>
      <c r="AU282" s="273">
        <v>0</v>
      </c>
      <c r="AV282" s="273">
        <v>0</v>
      </c>
      <c r="AW282" s="273">
        <v>0</v>
      </c>
      <c r="AX282" s="273">
        <v>0.9002333333333332</v>
      </c>
      <c r="AY282" s="273">
        <v>1311</v>
      </c>
      <c r="AZ282" s="273">
        <v>4.490465293668955</v>
      </c>
      <c r="BA282" s="273">
        <v>3284</v>
      </c>
      <c r="BB282" s="273">
        <v>0.5578393069475115</v>
      </c>
      <c r="BC282" s="273">
        <v>0</v>
      </c>
      <c r="BD282" s="273">
        <v>0</v>
      </c>
      <c r="BE282" s="273">
        <v>6081</v>
      </c>
      <c r="BF282" s="273">
        <v>5887</v>
      </c>
      <c r="BG282" s="273">
        <v>-0.031902647590856766</v>
      </c>
      <c r="BH282" s="273">
        <v>0</v>
      </c>
      <c r="BI282" s="273">
        <v>0</v>
      </c>
      <c r="BJ282" s="273">
        <v>0</v>
      </c>
      <c r="BK282" s="273">
        <v>1211227.6736932085</v>
      </c>
      <c r="BL282" s="273">
        <v>7324.33</v>
      </c>
    </row>
    <row r="283" spans="6:64" s="273" customFormat="1" ht="12.75">
      <c r="F283" s="273">
        <v>630</v>
      </c>
      <c r="G283" s="273" t="s">
        <v>218</v>
      </c>
      <c r="H283" s="273">
        <v>152</v>
      </c>
      <c r="I283" s="273">
        <v>30</v>
      </c>
      <c r="J283" s="273">
        <v>126</v>
      </c>
      <c r="K283" s="273">
        <v>90</v>
      </c>
      <c r="L283" s="273">
        <v>1166</v>
      </c>
      <c r="M283" s="273">
        <v>141</v>
      </c>
      <c r="N283" s="273">
        <v>85</v>
      </c>
      <c r="O283" s="273">
        <v>40</v>
      </c>
      <c r="P283" s="273">
        <v>1584</v>
      </c>
      <c r="Q283" s="273">
        <v>0</v>
      </c>
      <c r="R283" s="273">
        <v>0</v>
      </c>
      <c r="S283" s="273">
        <v>810.77</v>
      </c>
      <c r="T283" s="273">
        <v>1.9536983361495863</v>
      </c>
      <c r="U283" s="273">
        <v>0</v>
      </c>
      <c r="V283" s="273">
        <v>0</v>
      </c>
      <c r="W283" s="273">
        <v>605</v>
      </c>
      <c r="X283" s="273">
        <v>82</v>
      </c>
      <c r="Y283" s="273">
        <v>8</v>
      </c>
      <c r="Z283" s="273">
        <v>0.8942761760984571</v>
      </c>
      <c r="AA283" s="273">
        <v>1</v>
      </c>
      <c r="AB283" s="273">
        <v>2</v>
      </c>
      <c r="AC283" s="273">
        <v>0.8168550343896521</v>
      </c>
      <c r="AD283" s="273">
        <v>105</v>
      </c>
      <c r="AE283" s="273">
        <v>15</v>
      </c>
      <c r="AF283" s="273">
        <v>3</v>
      </c>
      <c r="AG283" s="273">
        <v>0</v>
      </c>
      <c r="AH283" s="273">
        <v>123</v>
      </c>
      <c r="AI283" s="273">
        <v>1.5439649298071325</v>
      </c>
      <c r="AJ283" s="273">
        <v>690</v>
      </c>
      <c r="AK283" s="273">
        <v>61</v>
      </c>
      <c r="AL283" s="273">
        <v>0.935356233435473</v>
      </c>
      <c r="AM283" s="273">
        <v>1.68405806093197</v>
      </c>
      <c r="AN283" s="273">
        <v>0.0800000000000001</v>
      </c>
      <c r="AO283" s="273">
        <v>0</v>
      </c>
      <c r="AP283" s="273">
        <f t="shared" si="3"/>
        <v>0.0800000000000001</v>
      </c>
      <c r="AQ283" s="273">
        <v>-38762.769205734134</v>
      </c>
      <c r="AR283" s="273">
        <v>1200490.796232911</v>
      </c>
      <c r="AS283" s="273">
        <v>1</v>
      </c>
      <c r="AT283" s="273">
        <v>1584</v>
      </c>
      <c r="AU283" s="273">
        <v>0</v>
      </c>
      <c r="AV283" s="273">
        <v>0</v>
      </c>
      <c r="AW283" s="273">
        <v>0</v>
      </c>
      <c r="AX283" s="273">
        <v>1.3702833333333333</v>
      </c>
      <c r="AY283" s="273">
        <v>810.77</v>
      </c>
      <c r="AZ283" s="273">
        <v>1.9536983361495863</v>
      </c>
      <c r="BA283" s="273">
        <v>832</v>
      </c>
      <c r="BB283" s="273">
        <v>0.5252525252525253</v>
      </c>
      <c r="BC283" s="273">
        <v>0</v>
      </c>
      <c r="BD283" s="273">
        <v>0</v>
      </c>
      <c r="BE283" s="273">
        <v>1701</v>
      </c>
      <c r="BF283" s="273">
        <v>1584</v>
      </c>
      <c r="BG283" s="273">
        <v>-0.06878306878306878</v>
      </c>
      <c r="BH283" s="273">
        <v>1</v>
      </c>
      <c r="BI283" s="273">
        <v>0</v>
      </c>
      <c r="BJ283" s="273">
        <v>0</v>
      </c>
      <c r="BK283" s="273">
        <v>335752.0190438842</v>
      </c>
      <c r="BL283" s="273">
        <v>8208.74</v>
      </c>
    </row>
    <row r="284" spans="6:64" s="273" customFormat="1" ht="12.75">
      <c r="F284" s="273">
        <v>631</v>
      </c>
      <c r="G284" s="273" t="s">
        <v>219</v>
      </c>
      <c r="H284" s="273">
        <v>146</v>
      </c>
      <c r="I284" s="273">
        <v>22</v>
      </c>
      <c r="J284" s="273">
        <v>153</v>
      </c>
      <c r="K284" s="273">
        <v>84</v>
      </c>
      <c r="L284" s="273">
        <v>1577</v>
      </c>
      <c r="M284" s="273">
        <v>281</v>
      </c>
      <c r="N284" s="273">
        <v>162</v>
      </c>
      <c r="O284" s="273">
        <v>40</v>
      </c>
      <c r="P284" s="273">
        <v>2206</v>
      </c>
      <c r="Q284" s="273">
        <v>2</v>
      </c>
      <c r="R284" s="273">
        <v>0</v>
      </c>
      <c r="S284" s="273">
        <v>143.26</v>
      </c>
      <c r="T284" s="273">
        <v>15.398576015635907</v>
      </c>
      <c r="U284" s="273">
        <v>0</v>
      </c>
      <c r="V284" s="273">
        <v>0</v>
      </c>
      <c r="W284" s="273">
        <v>966</v>
      </c>
      <c r="X284" s="273">
        <v>51</v>
      </c>
      <c r="Y284" s="273">
        <v>7</v>
      </c>
      <c r="Z284" s="273">
        <v>0.9874805012722394</v>
      </c>
      <c r="AA284" s="273">
        <v>0</v>
      </c>
      <c r="AB284" s="273">
        <v>2</v>
      </c>
      <c r="AC284" s="273">
        <v>0.5865359811755253</v>
      </c>
      <c r="AD284" s="273">
        <v>93</v>
      </c>
      <c r="AE284" s="273">
        <v>21</v>
      </c>
      <c r="AF284" s="273">
        <v>6</v>
      </c>
      <c r="AG284" s="273">
        <v>3</v>
      </c>
      <c r="AH284" s="273">
        <v>123</v>
      </c>
      <c r="AI284" s="273">
        <v>1.1086312097980497</v>
      </c>
      <c r="AJ284" s="273">
        <v>1076</v>
      </c>
      <c r="AK284" s="273">
        <v>81</v>
      </c>
      <c r="AL284" s="273">
        <v>0.7964693138934212</v>
      </c>
      <c r="AM284" s="273">
        <v>0.900032816383936</v>
      </c>
      <c r="AN284" s="273">
        <v>0</v>
      </c>
      <c r="AO284" s="273">
        <v>0</v>
      </c>
      <c r="AP284" s="273">
        <f t="shared" si="3"/>
        <v>0</v>
      </c>
      <c r="AQ284" s="273">
        <v>125422.74595760088</v>
      </c>
      <c r="AR284" s="273">
        <v>56422.62330769077</v>
      </c>
      <c r="AS284" s="273">
        <v>0</v>
      </c>
      <c r="AT284" s="273">
        <v>2206</v>
      </c>
      <c r="AU284" s="273">
        <v>0</v>
      </c>
      <c r="AV284" s="273">
        <v>0</v>
      </c>
      <c r="AW284" s="273">
        <v>0</v>
      </c>
      <c r="AX284" s="273">
        <v>0</v>
      </c>
      <c r="AY284" s="273">
        <v>143.26</v>
      </c>
      <c r="AZ284" s="273">
        <v>15.398576015635907</v>
      </c>
      <c r="BA284" s="273">
        <v>847</v>
      </c>
      <c r="BB284" s="273">
        <v>0.3839528558476881</v>
      </c>
      <c r="BC284" s="273">
        <v>0</v>
      </c>
      <c r="BD284" s="273">
        <v>0</v>
      </c>
      <c r="BE284" s="273">
        <v>2236</v>
      </c>
      <c r="BF284" s="273">
        <v>2206</v>
      </c>
      <c r="BG284" s="273">
        <v>-0.013416815742397137</v>
      </c>
      <c r="BH284" s="273">
        <v>0</v>
      </c>
      <c r="BI284" s="273">
        <v>0</v>
      </c>
      <c r="BJ284" s="273">
        <v>0</v>
      </c>
      <c r="BK284" s="273">
        <v>396934.7948134183</v>
      </c>
      <c r="BL284" s="273">
        <v>6502.6</v>
      </c>
    </row>
    <row r="285" spans="6:64" s="273" customFormat="1" ht="12.75">
      <c r="F285" s="273">
        <v>635</v>
      </c>
      <c r="G285" s="273" t="s">
        <v>220</v>
      </c>
      <c r="H285" s="273">
        <v>485</v>
      </c>
      <c r="I285" s="273">
        <v>80</v>
      </c>
      <c r="J285" s="273">
        <v>490</v>
      </c>
      <c r="K285" s="273">
        <v>237</v>
      </c>
      <c r="L285" s="273">
        <v>4731</v>
      </c>
      <c r="M285" s="273">
        <v>874</v>
      </c>
      <c r="N285" s="273">
        <v>564</v>
      </c>
      <c r="O285" s="273">
        <v>228</v>
      </c>
      <c r="P285" s="273">
        <v>6882</v>
      </c>
      <c r="Q285" s="273">
        <v>3</v>
      </c>
      <c r="R285" s="273">
        <v>10</v>
      </c>
      <c r="S285" s="273">
        <v>560.5</v>
      </c>
      <c r="T285" s="273">
        <v>12.278322925958966</v>
      </c>
      <c r="U285" s="273">
        <v>0</v>
      </c>
      <c r="V285" s="273">
        <v>0</v>
      </c>
      <c r="W285" s="273">
        <v>2779</v>
      </c>
      <c r="X285" s="273">
        <v>329</v>
      </c>
      <c r="Y285" s="273">
        <v>48</v>
      </c>
      <c r="Z285" s="273">
        <v>0.9080385008702849</v>
      </c>
      <c r="AA285" s="273">
        <v>10</v>
      </c>
      <c r="AB285" s="273">
        <v>10</v>
      </c>
      <c r="AC285" s="273">
        <v>0.9400598477718751</v>
      </c>
      <c r="AD285" s="273">
        <v>411</v>
      </c>
      <c r="AE285" s="273">
        <v>32</v>
      </c>
      <c r="AF285" s="273">
        <v>13</v>
      </c>
      <c r="AG285" s="273">
        <v>0</v>
      </c>
      <c r="AH285" s="273">
        <v>456</v>
      </c>
      <c r="AI285" s="273">
        <v>1.317460707748753</v>
      </c>
      <c r="AJ285" s="273">
        <v>3104</v>
      </c>
      <c r="AK285" s="273">
        <v>267</v>
      </c>
      <c r="AL285" s="273">
        <v>0.9100931578809849</v>
      </c>
      <c r="AM285" s="273">
        <v>0.979539165030928</v>
      </c>
      <c r="AN285" s="273">
        <v>0</v>
      </c>
      <c r="AO285" s="273">
        <v>0</v>
      </c>
      <c r="AP285" s="273">
        <f t="shared" si="3"/>
        <v>0</v>
      </c>
      <c r="AQ285" s="273">
        <v>-12804.24278062582</v>
      </c>
      <c r="AR285" s="273">
        <v>3729747.7719349973</v>
      </c>
      <c r="AS285" s="273">
        <v>0</v>
      </c>
      <c r="AT285" s="273">
        <v>6882</v>
      </c>
      <c r="AU285" s="273">
        <v>0</v>
      </c>
      <c r="AV285" s="273">
        <v>0</v>
      </c>
      <c r="AW285" s="273">
        <v>0</v>
      </c>
      <c r="AX285" s="273">
        <v>0</v>
      </c>
      <c r="AY285" s="273">
        <v>560.5</v>
      </c>
      <c r="AZ285" s="273">
        <v>12.278322925958966</v>
      </c>
      <c r="BA285" s="273">
        <v>3913</v>
      </c>
      <c r="BB285" s="273">
        <v>0.5685847137460041</v>
      </c>
      <c r="BC285" s="273">
        <v>0</v>
      </c>
      <c r="BD285" s="273">
        <v>0</v>
      </c>
      <c r="BE285" s="273">
        <v>6989</v>
      </c>
      <c r="BF285" s="273">
        <v>6882</v>
      </c>
      <c r="BG285" s="273">
        <v>-0.015309772499642296</v>
      </c>
      <c r="BH285" s="273">
        <v>0</v>
      </c>
      <c r="BI285" s="273">
        <v>0</v>
      </c>
      <c r="BJ285" s="273">
        <v>0</v>
      </c>
      <c r="BK285" s="273">
        <v>1184462.1760375989</v>
      </c>
      <c r="BL285" s="273">
        <v>6670.74</v>
      </c>
    </row>
    <row r="286" spans="6:64" s="273" customFormat="1" ht="12.75">
      <c r="F286" s="273">
        <v>636</v>
      </c>
      <c r="G286" s="273" t="s">
        <v>221</v>
      </c>
      <c r="H286" s="273">
        <v>703</v>
      </c>
      <c r="I286" s="273">
        <v>96</v>
      </c>
      <c r="J286" s="273">
        <v>610</v>
      </c>
      <c r="K286" s="273">
        <v>316</v>
      </c>
      <c r="L286" s="273">
        <v>6000</v>
      </c>
      <c r="M286" s="273">
        <v>888</v>
      </c>
      <c r="N286" s="273">
        <v>594</v>
      </c>
      <c r="O286" s="273">
        <v>289</v>
      </c>
      <c r="P286" s="273">
        <v>8474</v>
      </c>
      <c r="Q286" s="273">
        <v>1</v>
      </c>
      <c r="R286" s="273">
        <v>11</v>
      </c>
      <c r="S286" s="273">
        <v>750.04</v>
      </c>
      <c r="T286" s="273">
        <v>11.298064103247828</v>
      </c>
      <c r="U286" s="273">
        <v>0</v>
      </c>
      <c r="V286" s="273">
        <v>0</v>
      </c>
      <c r="W286" s="273">
        <v>3571</v>
      </c>
      <c r="X286" s="273">
        <v>456</v>
      </c>
      <c r="Y286" s="273">
        <v>41</v>
      </c>
      <c r="Z286" s="273">
        <v>0.9043443293318221</v>
      </c>
      <c r="AA286" s="273">
        <v>6</v>
      </c>
      <c r="AB286" s="273">
        <v>6</v>
      </c>
      <c r="AC286" s="273">
        <v>0.4580711734033074</v>
      </c>
      <c r="AD286" s="273">
        <v>467</v>
      </c>
      <c r="AE286" s="273">
        <v>72</v>
      </c>
      <c r="AF286" s="273">
        <v>16</v>
      </c>
      <c r="AG286" s="273">
        <v>11</v>
      </c>
      <c r="AH286" s="273">
        <v>566</v>
      </c>
      <c r="AI286" s="273">
        <v>1.3280531880673794</v>
      </c>
      <c r="AJ286" s="273">
        <v>3912</v>
      </c>
      <c r="AK286" s="273">
        <v>270</v>
      </c>
      <c r="AL286" s="273">
        <v>0.7302326020358906</v>
      </c>
      <c r="AM286" s="273">
        <v>1.09829789017818</v>
      </c>
      <c r="AN286" s="273">
        <v>0</v>
      </c>
      <c r="AO286" s="273">
        <v>0</v>
      </c>
      <c r="AP286" s="273">
        <f t="shared" si="3"/>
        <v>0</v>
      </c>
      <c r="AQ286" s="273">
        <v>4699.763645730913</v>
      </c>
      <c r="AR286" s="273">
        <v>4953742.002492302</v>
      </c>
      <c r="AS286" s="273">
        <v>1</v>
      </c>
      <c r="AT286" s="273">
        <v>8474</v>
      </c>
      <c r="AU286" s="273">
        <v>0</v>
      </c>
      <c r="AV286" s="273">
        <v>0</v>
      </c>
      <c r="AW286" s="273">
        <v>0</v>
      </c>
      <c r="AX286" s="273">
        <v>0</v>
      </c>
      <c r="AY286" s="273">
        <v>750.04</v>
      </c>
      <c r="AZ286" s="273">
        <v>11.298064103247828</v>
      </c>
      <c r="BA286" s="273">
        <v>4089</v>
      </c>
      <c r="BB286" s="273">
        <v>0.482534812367241</v>
      </c>
      <c r="BC286" s="273">
        <v>0</v>
      </c>
      <c r="BD286" s="273">
        <v>0</v>
      </c>
      <c r="BE286" s="273">
        <v>8397</v>
      </c>
      <c r="BF286" s="273">
        <v>8474</v>
      </c>
      <c r="BG286" s="273">
        <v>0.00916994164582589</v>
      </c>
      <c r="BH286" s="273">
        <v>0</v>
      </c>
      <c r="BI286" s="273">
        <v>0</v>
      </c>
      <c r="BJ286" s="273">
        <v>0</v>
      </c>
      <c r="BK286" s="273">
        <v>1545960.4908666743</v>
      </c>
      <c r="BL286" s="273">
        <v>6721.63</v>
      </c>
    </row>
    <row r="287" spans="6:64" s="273" customFormat="1" ht="12.75">
      <c r="F287" s="273">
        <v>678</v>
      </c>
      <c r="G287" s="273" t="s">
        <v>222</v>
      </c>
      <c r="H287" s="273">
        <v>2382</v>
      </c>
      <c r="I287" s="273">
        <v>341</v>
      </c>
      <c r="J287" s="273">
        <v>1919</v>
      </c>
      <c r="K287" s="273">
        <v>989</v>
      </c>
      <c r="L287" s="273">
        <v>18866</v>
      </c>
      <c r="M287" s="273">
        <v>2625</v>
      </c>
      <c r="N287" s="273">
        <v>1327</v>
      </c>
      <c r="O287" s="273">
        <v>452</v>
      </c>
      <c r="P287" s="273">
        <v>25652</v>
      </c>
      <c r="Q287" s="273">
        <v>1</v>
      </c>
      <c r="R287" s="273">
        <v>53</v>
      </c>
      <c r="S287" s="273">
        <v>1014</v>
      </c>
      <c r="T287" s="273">
        <v>25.297830374753453</v>
      </c>
      <c r="U287" s="273">
        <v>0</v>
      </c>
      <c r="V287" s="273">
        <v>0</v>
      </c>
      <c r="W287" s="273">
        <v>9817</v>
      </c>
      <c r="X287" s="273">
        <v>288</v>
      </c>
      <c r="Y287" s="273">
        <v>114</v>
      </c>
      <c r="Z287" s="273">
        <v>1.0075377801673575</v>
      </c>
      <c r="AA287" s="273">
        <v>30</v>
      </c>
      <c r="AB287" s="273">
        <v>30</v>
      </c>
      <c r="AC287" s="273">
        <v>0.7566067213900722</v>
      </c>
      <c r="AD287" s="273">
        <v>1259</v>
      </c>
      <c r="AE287" s="273">
        <v>159</v>
      </c>
      <c r="AF287" s="273">
        <v>49</v>
      </c>
      <c r="AG287" s="273">
        <v>1</v>
      </c>
      <c r="AH287" s="273">
        <v>1468</v>
      </c>
      <c r="AI287" s="273">
        <v>1.1378691462779753</v>
      </c>
      <c r="AJ287" s="273">
        <v>11367</v>
      </c>
      <c r="AK287" s="273">
        <v>1078</v>
      </c>
      <c r="AL287" s="273">
        <v>1.003388689943673</v>
      </c>
      <c r="AM287" s="273">
        <v>1.40150490147186</v>
      </c>
      <c r="AN287" s="273">
        <v>0</v>
      </c>
      <c r="AO287" s="273">
        <v>0</v>
      </c>
      <c r="AP287" s="273">
        <f t="shared" si="3"/>
        <v>0</v>
      </c>
      <c r="AQ287" s="273">
        <v>-262736.8353430629</v>
      </c>
      <c r="AR287" s="273">
        <v>-1783165.7851571324</v>
      </c>
      <c r="AS287" s="273">
        <v>1</v>
      </c>
      <c r="AT287" s="273">
        <v>25652</v>
      </c>
      <c r="AU287" s="273">
        <v>0</v>
      </c>
      <c r="AV287" s="273">
        <v>0</v>
      </c>
      <c r="AW287" s="273">
        <v>0</v>
      </c>
      <c r="AX287" s="273">
        <v>0.05503333333333333</v>
      </c>
      <c r="AY287" s="273">
        <v>1014</v>
      </c>
      <c r="AZ287" s="273">
        <v>25.297830374753453</v>
      </c>
      <c r="BA287" s="273">
        <v>21930</v>
      </c>
      <c r="BB287" s="273">
        <v>0.8549041010447529</v>
      </c>
      <c r="BC287" s="273">
        <v>0</v>
      </c>
      <c r="BD287" s="273">
        <v>0</v>
      </c>
      <c r="BE287" s="273">
        <v>25809</v>
      </c>
      <c r="BF287" s="273">
        <v>25652</v>
      </c>
      <c r="BG287" s="273">
        <v>-0.0060831492890077105</v>
      </c>
      <c r="BH287" s="273">
        <v>0</v>
      </c>
      <c r="BI287" s="273">
        <v>3</v>
      </c>
      <c r="BJ287" s="273">
        <v>0.0001169499454233588</v>
      </c>
      <c r="BK287" s="273">
        <v>4106692.638712803</v>
      </c>
      <c r="BL287" s="273">
        <v>6181.2</v>
      </c>
    </row>
    <row r="288" spans="6:64" s="273" customFormat="1" ht="12.75">
      <c r="F288" s="273">
        <v>710</v>
      </c>
      <c r="G288" s="273" t="s">
        <v>223</v>
      </c>
      <c r="H288" s="273">
        <v>2136</v>
      </c>
      <c r="I288" s="273">
        <v>345</v>
      </c>
      <c r="J288" s="273">
        <v>1814</v>
      </c>
      <c r="K288" s="273">
        <v>1030</v>
      </c>
      <c r="L288" s="273">
        <v>20489</v>
      </c>
      <c r="M288" s="273">
        <v>3441</v>
      </c>
      <c r="N288" s="273">
        <v>2048</v>
      </c>
      <c r="O288" s="273">
        <v>845</v>
      </c>
      <c r="P288" s="273">
        <v>28959</v>
      </c>
      <c r="Q288" s="273">
        <v>2035</v>
      </c>
      <c r="R288" s="273">
        <v>115</v>
      </c>
      <c r="S288" s="273">
        <v>1147.7</v>
      </c>
      <c r="T288" s="273">
        <v>25.2322035375098</v>
      </c>
      <c r="U288" s="273">
        <v>1</v>
      </c>
      <c r="V288" s="273">
        <v>3</v>
      </c>
      <c r="W288" s="273">
        <v>12291</v>
      </c>
      <c r="X288" s="273">
        <v>478</v>
      </c>
      <c r="Y288" s="273">
        <v>124</v>
      </c>
      <c r="Z288" s="273">
        <v>0.9991022722539884</v>
      </c>
      <c r="AA288" s="273">
        <v>26</v>
      </c>
      <c r="AB288" s="273">
        <v>26</v>
      </c>
      <c r="AC288" s="273">
        <v>0.5808446033409894</v>
      </c>
      <c r="AD288" s="273">
        <v>1040</v>
      </c>
      <c r="AE288" s="273">
        <v>150</v>
      </c>
      <c r="AF288" s="273">
        <v>47</v>
      </c>
      <c r="AG288" s="273">
        <v>8</v>
      </c>
      <c r="AH288" s="273">
        <v>1245</v>
      </c>
      <c r="AI288" s="273">
        <v>0.8548172700495963</v>
      </c>
      <c r="AJ288" s="273">
        <v>13615</v>
      </c>
      <c r="AK288" s="273">
        <v>962</v>
      </c>
      <c r="AL288" s="273">
        <v>0.747573205336205</v>
      </c>
      <c r="AM288" s="273">
        <v>0.924999623687655</v>
      </c>
      <c r="AN288" s="273">
        <v>0</v>
      </c>
      <c r="AO288" s="273">
        <v>0</v>
      </c>
      <c r="AP288" s="273">
        <f t="shared" si="3"/>
        <v>0</v>
      </c>
      <c r="AQ288" s="273">
        <v>100751.36435972154</v>
      </c>
      <c r="AR288" s="273">
        <v>1850012.84414283</v>
      </c>
      <c r="AS288" s="273">
        <v>1</v>
      </c>
      <c r="AT288" s="273">
        <v>28959</v>
      </c>
      <c r="AU288" s="273">
        <v>1</v>
      </c>
      <c r="AV288" s="273">
        <v>2035</v>
      </c>
      <c r="AW288" s="273">
        <v>0.07027176352774613</v>
      </c>
      <c r="AX288" s="273">
        <v>0</v>
      </c>
      <c r="AY288" s="273">
        <v>1147.7</v>
      </c>
      <c r="AZ288" s="273">
        <v>25.2322035375098</v>
      </c>
      <c r="BA288" s="273">
        <v>22028</v>
      </c>
      <c r="BB288" s="273">
        <v>0.7606616250561138</v>
      </c>
      <c r="BC288" s="273">
        <v>3</v>
      </c>
      <c r="BD288" s="273">
        <v>0</v>
      </c>
      <c r="BE288" s="273">
        <v>28834</v>
      </c>
      <c r="BF288" s="273">
        <v>28959</v>
      </c>
      <c r="BG288" s="273">
        <v>0.0043351598806964</v>
      </c>
      <c r="BH288" s="273">
        <v>0</v>
      </c>
      <c r="BI288" s="273">
        <v>0</v>
      </c>
      <c r="BJ288" s="273">
        <v>0</v>
      </c>
      <c r="BK288" s="273">
        <v>4792447.7094738595</v>
      </c>
      <c r="BL288" s="273">
        <v>6997.14</v>
      </c>
    </row>
    <row r="289" spans="6:64" s="273" customFormat="1" ht="12.75">
      <c r="F289" s="273">
        <v>680</v>
      </c>
      <c r="G289" s="273" t="s">
        <v>224</v>
      </c>
      <c r="H289" s="273">
        <v>1770</v>
      </c>
      <c r="I289" s="273">
        <v>229</v>
      </c>
      <c r="J289" s="273">
        <v>1628</v>
      </c>
      <c r="K289" s="273">
        <v>971</v>
      </c>
      <c r="L289" s="273">
        <v>18416</v>
      </c>
      <c r="M289" s="273">
        <v>2433</v>
      </c>
      <c r="N289" s="273">
        <v>1491</v>
      </c>
      <c r="O289" s="273">
        <v>449</v>
      </c>
      <c r="P289" s="273">
        <v>24559</v>
      </c>
      <c r="Q289" s="273">
        <v>60</v>
      </c>
      <c r="R289" s="273">
        <v>171</v>
      </c>
      <c r="S289" s="273">
        <v>48.76</v>
      </c>
      <c r="T289" s="273">
        <v>503.6710418375718</v>
      </c>
      <c r="U289" s="273">
        <v>0</v>
      </c>
      <c r="V289" s="273">
        <v>0</v>
      </c>
      <c r="W289" s="273">
        <v>10946</v>
      </c>
      <c r="X289" s="273">
        <v>48</v>
      </c>
      <c r="Y289" s="273">
        <v>110</v>
      </c>
      <c r="Z289" s="273">
        <v>1.0353931816363904</v>
      </c>
      <c r="AA289" s="273">
        <v>49</v>
      </c>
      <c r="AB289" s="273">
        <v>49</v>
      </c>
      <c r="AC289" s="273">
        <v>1.290789941552735</v>
      </c>
      <c r="AD289" s="273">
        <v>955</v>
      </c>
      <c r="AE289" s="273">
        <v>158</v>
      </c>
      <c r="AF289" s="273">
        <v>66</v>
      </c>
      <c r="AG289" s="273">
        <v>4</v>
      </c>
      <c r="AH289" s="273">
        <v>1183</v>
      </c>
      <c r="AI289" s="273">
        <v>0.9577707346031312</v>
      </c>
      <c r="AJ289" s="273">
        <v>12122</v>
      </c>
      <c r="AK289" s="273">
        <v>1025</v>
      </c>
      <c r="AL289" s="273">
        <v>0.894635003282527</v>
      </c>
      <c r="AM289" s="273">
        <v>0.952059906768904</v>
      </c>
      <c r="AN289" s="273">
        <v>0</v>
      </c>
      <c r="AO289" s="273">
        <v>0</v>
      </c>
      <c r="AP289" s="273">
        <f t="shared" si="3"/>
        <v>0</v>
      </c>
      <c r="AQ289" s="273">
        <v>-208527.08328069</v>
      </c>
      <c r="AR289" s="273">
        <v>-3045733.5136088664</v>
      </c>
      <c r="AS289" s="273">
        <v>1</v>
      </c>
      <c r="AT289" s="273">
        <v>24559</v>
      </c>
      <c r="AU289" s="273">
        <v>0</v>
      </c>
      <c r="AV289" s="273">
        <v>0</v>
      </c>
      <c r="AW289" s="273">
        <v>0</v>
      </c>
      <c r="AX289" s="273">
        <v>0</v>
      </c>
      <c r="AY289" s="273">
        <v>48.76</v>
      </c>
      <c r="AZ289" s="273">
        <v>503.6710418375718</v>
      </c>
      <c r="BA289" s="273">
        <v>24052</v>
      </c>
      <c r="BB289" s="273">
        <v>0.9793558369640458</v>
      </c>
      <c r="BC289" s="273">
        <v>0</v>
      </c>
      <c r="BD289" s="273">
        <v>0</v>
      </c>
      <c r="BE289" s="273">
        <v>24147</v>
      </c>
      <c r="BF289" s="273">
        <v>24559</v>
      </c>
      <c r="BG289" s="273">
        <v>0.01706216093096451</v>
      </c>
      <c r="BH289" s="273">
        <v>0</v>
      </c>
      <c r="BI289" s="273">
        <v>5</v>
      </c>
      <c r="BJ289" s="273">
        <v>0.00020359135143939086</v>
      </c>
      <c r="BK289" s="273">
        <v>2763269.917627248</v>
      </c>
      <c r="BL289" s="273">
        <v>5953.89</v>
      </c>
    </row>
    <row r="290" spans="6:64" s="273" customFormat="1" ht="12.75">
      <c r="F290" s="273">
        <v>681</v>
      </c>
      <c r="G290" s="273" t="s">
        <v>225</v>
      </c>
      <c r="H290" s="273">
        <v>193</v>
      </c>
      <c r="I290" s="273">
        <v>25</v>
      </c>
      <c r="J290" s="273">
        <v>229</v>
      </c>
      <c r="K290" s="273">
        <v>119</v>
      </c>
      <c r="L290" s="273">
        <v>2682</v>
      </c>
      <c r="M290" s="273">
        <v>508</v>
      </c>
      <c r="N290" s="273">
        <v>408</v>
      </c>
      <c r="O290" s="273">
        <v>158</v>
      </c>
      <c r="P290" s="273">
        <v>3949</v>
      </c>
      <c r="Q290" s="273">
        <v>0</v>
      </c>
      <c r="R290" s="273">
        <v>5</v>
      </c>
      <c r="S290" s="273">
        <v>559.16</v>
      </c>
      <c r="T290" s="273">
        <v>7.0623792832105305</v>
      </c>
      <c r="U290" s="273">
        <v>0</v>
      </c>
      <c r="V290" s="273">
        <v>0</v>
      </c>
      <c r="W290" s="273">
        <v>1429</v>
      </c>
      <c r="X290" s="273">
        <v>322</v>
      </c>
      <c r="Y290" s="273">
        <v>25</v>
      </c>
      <c r="Z290" s="273">
        <v>0.7954535762476455</v>
      </c>
      <c r="AA290" s="273">
        <v>4</v>
      </c>
      <c r="AB290" s="273">
        <v>2</v>
      </c>
      <c r="AC290" s="273">
        <v>0.32765215864097463</v>
      </c>
      <c r="AD290" s="273">
        <v>266</v>
      </c>
      <c r="AE290" s="273">
        <v>14</v>
      </c>
      <c r="AF290" s="273">
        <v>2</v>
      </c>
      <c r="AG290" s="273">
        <v>1</v>
      </c>
      <c r="AH290" s="273">
        <v>283</v>
      </c>
      <c r="AI290" s="273">
        <v>1.4249079153814856</v>
      </c>
      <c r="AJ290" s="273">
        <v>1713</v>
      </c>
      <c r="AK290" s="273">
        <v>227</v>
      </c>
      <c r="AL290" s="273">
        <v>1.4020541743752994</v>
      </c>
      <c r="AM290" s="273">
        <v>1.28818560696886</v>
      </c>
      <c r="AN290" s="273">
        <v>0.05</v>
      </c>
      <c r="AO290" s="273">
        <v>0</v>
      </c>
      <c r="AP290" s="273">
        <f t="shared" si="3"/>
        <v>0.05</v>
      </c>
      <c r="AQ290" s="273">
        <v>78566.64100998268</v>
      </c>
      <c r="AR290" s="273">
        <v>3073136.4755999995</v>
      </c>
      <c r="AS290" s="273">
        <v>1</v>
      </c>
      <c r="AT290" s="273">
        <v>3949</v>
      </c>
      <c r="AU290" s="273">
        <v>0</v>
      </c>
      <c r="AV290" s="273">
        <v>0</v>
      </c>
      <c r="AW290" s="273">
        <v>0</v>
      </c>
      <c r="AX290" s="273">
        <v>0.5338666666666667</v>
      </c>
      <c r="AY290" s="273">
        <v>559.16</v>
      </c>
      <c r="AZ290" s="273">
        <v>7.0623792832105305</v>
      </c>
      <c r="BA290" s="273">
        <v>1527</v>
      </c>
      <c r="BB290" s="273">
        <v>0.38668017219549256</v>
      </c>
      <c r="BC290" s="273">
        <v>0</v>
      </c>
      <c r="BD290" s="273">
        <v>0</v>
      </c>
      <c r="BE290" s="273">
        <v>4145</v>
      </c>
      <c r="BF290" s="273">
        <v>3949</v>
      </c>
      <c r="BG290" s="273">
        <v>-0.047285886610373945</v>
      </c>
      <c r="BH290" s="273">
        <v>0</v>
      </c>
      <c r="BI290" s="273">
        <v>0</v>
      </c>
      <c r="BJ290" s="273">
        <v>0</v>
      </c>
      <c r="BK290" s="273">
        <v>845453.9437023501</v>
      </c>
      <c r="BL290" s="273">
        <v>7042.65</v>
      </c>
    </row>
    <row r="291" spans="6:64" s="273" customFormat="1" ht="12.75">
      <c r="F291" s="273">
        <v>683</v>
      </c>
      <c r="G291" s="273" t="s">
        <v>226</v>
      </c>
      <c r="H291" s="273">
        <v>358</v>
      </c>
      <c r="I291" s="273">
        <v>51</v>
      </c>
      <c r="J291" s="273">
        <v>358</v>
      </c>
      <c r="K291" s="273">
        <v>231</v>
      </c>
      <c r="L291" s="273">
        <v>3045</v>
      </c>
      <c r="M291" s="273">
        <v>433</v>
      </c>
      <c r="N291" s="273">
        <v>324</v>
      </c>
      <c r="O291" s="273">
        <v>102</v>
      </c>
      <c r="P291" s="273">
        <v>4262</v>
      </c>
      <c r="Q291" s="273">
        <v>0</v>
      </c>
      <c r="R291" s="273">
        <v>0</v>
      </c>
      <c r="S291" s="273">
        <v>3453.73</v>
      </c>
      <c r="T291" s="273">
        <v>1.2340281376946085</v>
      </c>
      <c r="U291" s="273">
        <v>0</v>
      </c>
      <c r="V291" s="273">
        <v>0</v>
      </c>
      <c r="W291" s="273">
        <v>1369</v>
      </c>
      <c r="X291" s="273">
        <v>273</v>
      </c>
      <c r="Y291" s="273">
        <v>31</v>
      </c>
      <c r="Z291" s="273">
        <v>0.8172707697697821</v>
      </c>
      <c r="AA291" s="273">
        <v>6</v>
      </c>
      <c r="AB291" s="273">
        <v>6</v>
      </c>
      <c r="AC291" s="273">
        <v>0.910768447540973</v>
      </c>
      <c r="AD291" s="273">
        <v>294</v>
      </c>
      <c r="AE291" s="273">
        <v>46</v>
      </c>
      <c r="AF291" s="273">
        <v>10</v>
      </c>
      <c r="AG291" s="273">
        <v>2</v>
      </c>
      <c r="AH291" s="273">
        <v>352</v>
      </c>
      <c r="AI291" s="273">
        <v>1.6421647113701023</v>
      </c>
      <c r="AJ291" s="273">
        <v>1648</v>
      </c>
      <c r="AK291" s="273">
        <v>226</v>
      </c>
      <c r="AL291" s="273">
        <v>1.4509335811110105</v>
      </c>
      <c r="AM291" s="273">
        <v>1.86238352706752</v>
      </c>
      <c r="AN291" s="273">
        <v>0.17</v>
      </c>
      <c r="AO291" s="273">
        <v>0</v>
      </c>
      <c r="AP291" s="273">
        <f t="shared" si="3"/>
        <v>0.17</v>
      </c>
      <c r="AQ291" s="273">
        <v>26685.365200374275</v>
      </c>
      <c r="AR291" s="273">
        <v>4629602.137018181</v>
      </c>
      <c r="AS291" s="273">
        <v>1</v>
      </c>
      <c r="AT291" s="273">
        <v>4262</v>
      </c>
      <c r="AU291" s="273">
        <v>0</v>
      </c>
      <c r="AV291" s="273">
        <v>0</v>
      </c>
      <c r="AW291" s="273">
        <v>0</v>
      </c>
      <c r="AX291" s="273">
        <v>1.6410166666666668</v>
      </c>
      <c r="AY291" s="273">
        <v>3453.73</v>
      </c>
      <c r="AZ291" s="273">
        <v>1.2340281376946085</v>
      </c>
      <c r="BA291" s="273">
        <v>2022</v>
      </c>
      <c r="BB291" s="273">
        <v>0.47442515251055845</v>
      </c>
      <c r="BC291" s="273">
        <v>0</v>
      </c>
      <c r="BD291" s="273">
        <v>0</v>
      </c>
      <c r="BE291" s="273">
        <v>4428</v>
      </c>
      <c r="BF291" s="273">
        <v>4262</v>
      </c>
      <c r="BG291" s="273">
        <v>-0.037488708220415536</v>
      </c>
      <c r="BH291" s="273">
        <v>0</v>
      </c>
      <c r="BI291" s="273">
        <v>0</v>
      </c>
      <c r="BJ291" s="273">
        <v>0</v>
      </c>
      <c r="BK291" s="273">
        <v>1110973.797524242</v>
      </c>
      <c r="BL291" s="273">
        <v>8573.71</v>
      </c>
    </row>
    <row r="292" spans="6:64" s="273" customFormat="1" ht="12.75">
      <c r="F292" s="273">
        <v>684</v>
      </c>
      <c r="G292" s="273" t="s">
        <v>227</v>
      </c>
      <c r="H292" s="273">
        <v>2876</v>
      </c>
      <c r="I292" s="273">
        <v>382</v>
      </c>
      <c r="J292" s="273">
        <v>2319</v>
      </c>
      <c r="K292" s="273">
        <v>1318</v>
      </c>
      <c r="L292" s="273">
        <v>28732</v>
      </c>
      <c r="M292" s="273">
        <v>4359</v>
      </c>
      <c r="N292" s="273">
        <v>2780</v>
      </c>
      <c r="O292" s="273">
        <v>1073</v>
      </c>
      <c r="P292" s="273">
        <v>39820</v>
      </c>
      <c r="Q292" s="273">
        <v>8</v>
      </c>
      <c r="R292" s="273">
        <v>71</v>
      </c>
      <c r="S292" s="273">
        <v>495.62</v>
      </c>
      <c r="T292" s="273">
        <v>80.34381179129171</v>
      </c>
      <c r="U292" s="273">
        <v>0</v>
      </c>
      <c r="V292" s="273">
        <v>0</v>
      </c>
      <c r="W292" s="273">
        <v>16867</v>
      </c>
      <c r="X292" s="273">
        <v>247</v>
      </c>
      <c r="Y292" s="273">
        <v>146</v>
      </c>
      <c r="Z292" s="273">
        <v>1.026079529529174</v>
      </c>
      <c r="AA292" s="273">
        <v>52</v>
      </c>
      <c r="AB292" s="273">
        <v>52</v>
      </c>
      <c r="AC292" s="273">
        <v>0.8448357040759275</v>
      </c>
      <c r="AD292" s="273">
        <v>1785</v>
      </c>
      <c r="AE292" s="273">
        <v>244</v>
      </c>
      <c r="AF292" s="273">
        <v>73</v>
      </c>
      <c r="AG292" s="273">
        <v>11</v>
      </c>
      <c r="AH292" s="273">
        <v>2113</v>
      </c>
      <c r="AI292" s="273">
        <v>1.0550808451742257</v>
      </c>
      <c r="AJ292" s="273">
        <v>19288</v>
      </c>
      <c r="AK292" s="273">
        <v>1938</v>
      </c>
      <c r="AL292" s="273">
        <v>1.0630724807019938</v>
      </c>
      <c r="AM292" s="273">
        <v>0.938386403287117</v>
      </c>
      <c r="AN292" s="273">
        <v>0</v>
      </c>
      <c r="AO292" s="273">
        <v>0</v>
      </c>
      <c r="AP292" s="273">
        <f t="shared" si="3"/>
        <v>0</v>
      </c>
      <c r="AQ292" s="273">
        <v>441723.179392606</v>
      </c>
      <c r="AR292" s="273">
        <v>-10085621.911075</v>
      </c>
      <c r="AS292" s="273">
        <v>1</v>
      </c>
      <c r="AT292" s="273">
        <v>39820</v>
      </c>
      <c r="AU292" s="273">
        <v>0</v>
      </c>
      <c r="AV292" s="273">
        <v>0</v>
      </c>
      <c r="AW292" s="273">
        <v>0</v>
      </c>
      <c r="AX292" s="273">
        <v>0</v>
      </c>
      <c r="AY292" s="273">
        <v>495.62</v>
      </c>
      <c r="AZ292" s="273">
        <v>80.34381179129171</v>
      </c>
      <c r="BA292" s="273">
        <v>36261</v>
      </c>
      <c r="BB292" s="273">
        <v>0.9106228026117529</v>
      </c>
      <c r="BC292" s="273">
        <v>0</v>
      </c>
      <c r="BD292" s="273">
        <v>0</v>
      </c>
      <c r="BE292" s="273">
        <v>39747</v>
      </c>
      <c r="BF292" s="273">
        <v>39820</v>
      </c>
      <c r="BG292" s="273">
        <v>0.001836616599994968</v>
      </c>
      <c r="BH292" s="273">
        <v>0</v>
      </c>
      <c r="BI292" s="273">
        <v>0</v>
      </c>
      <c r="BJ292" s="273">
        <v>0</v>
      </c>
      <c r="BK292" s="273">
        <v>6951401.042414273</v>
      </c>
      <c r="BL292" s="273">
        <v>5877.71</v>
      </c>
    </row>
    <row r="293" spans="6:64" s="273" customFormat="1" ht="12.75">
      <c r="F293" s="273">
        <v>686</v>
      </c>
      <c r="G293" s="273" t="s">
        <v>228</v>
      </c>
      <c r="H293" s="273">
        <v>212</v>
      </c>
      <c r="I293" s="273">
        <v>43</v>
      </c>
      <c r="J293" s="273">
        <v>204</v>
      </c>
      <c r="K293" s="273">
        <v>102</v>
      </c>
      <c r="L293" s="273">
        <v>2292</v>
      </c>
      <c r="M293" s="273">
        <v>469</v>
      </c>
      <c r="N293" s="273">
        <v>367</v>
      </c>
      <c r="O293" s="273">
        <v>141</v>
      </c>
      <c r="P293" s="273">
        <v>3481</v>
      </c>
      <c r="Q293" s="273">
        <v>0</v>
      </c>
      <c r="R293" s="273">
        <v>4</v>
      </c>
      <c r="S293" s="273">
        <v>538.98</v>
      </c>
      <c r="T293" s="273">
        <v>6.458495677019555</v>
      </c>
      <c r="U293" s="273">
        <v>0</v>
      </c>
      <c r="V293" s="273">
        <v>0</v>
      </c>
      <c r="W293" s="273">
        <v>1181</v>
      </c>
      <c r="X293" s="273">
        <v>212</v>
      </c>
      <c r="Y293" s="273">
        <v>27</v>
      </c>
      <c r="Z293" s="273">
        <v>0.8379552222820411</v>
      </c>
      <c r="AA293" s="273">
        <v>5</v>
      </c>
      <c r="AB293" s="273">
        <v>5</v>
      </c>
      <c r="AC293" s="273">
        <v>0.9292576662404545</v>
      </c>
      <c r="AD293" s="273">
        <v>284</v>
      </c>
      <c r="AE293" s="273">
        <v>27</v>
      </c>
      <c r="AF293" s="273">
        <v>6</v>
      </c>
      <c r="AG293" s="273">
        <v>3</v>
      </c>
      <c r="AH293" s="273">
        <v>320</v>
      </c>
      <c r="AI293" s="273">
        <v>1.8278201143504678</v>
      </c>
      <c r="AJ293" s="273">
        <v>1371</v>
      </c>
      <c r="AK293" s="273">
        <v>148</v>
      </c>
      <c r="AL293" s="273">
        <v>1.142143207165172</v>
      </c>
      <c r="AM293" s="273">
        <v>1.88608318761662</v>
      </c>
      <c r="AN293" s="273">
        <v>0</v>
      </c>
      <c r="AO293" s="273">
        <v>0</v>
      </c>
      <c r="AP293" s="273">
        <f t="shared" si="3"/>
        <v>0</v>
      </c>
      <c r="AQ293" s="273">
        <v>44659.95051725209</v>
      </c>
      <c r="AR293" s="273">
        <v>2910858.055214634</v>
      </c>
      <c r="AS293" s="273">
        <v>1</v>
      </c>
      <c r="AT293" s="273">
        <v>3481</v>
      </c>
      <c r="AU293" s="273">
        <v>0</v>
      </c>
      <c r="AV293" s="273">
        <v>0</v>
      </c>
      <c r="AW293" s="273">
        <v>0</v>
      </c>
      <c r="AX293" s="273">
        <v>0.17226666666666668</v>
      </c>
      <c r="AY293" s="273">
        <v>538.98</v>
      </c>
      <c r="AZ293" s="273">
        <v>6.458495677019555</v>
      </c>
      <c r="BA293" s="273">
        <v>1645</v>
      </c>
      <c r="BB293" s="273">
        <v>0.4725653547831083</v>
      </c>
      <c r="BC293" s="273">
        <v>0</v>
      </c>
      <c r="BD293" s="273">
        <v>0</v>
      </c>
      <c r="BE293" s="273">
        <v>3538</v>
      </c>
      <c r="BF293" s="273">
        <v>3481</v>
      </c>
      <c r="BG293" s="273">
        <v>-0.01611079706048615</v>
      </c>
      <c r="BH293" s="273">
        <v>0</v>
      </c>
      <c r="BI293" s="273">
        <v>0</v>
      </c>
      <c r="BJ293" s="273">
        <v>0</v>
      </c>
      <c r="BK293" s="273">
        <v>829723.3924532006</v>
      </c>
      <c r="BL293" s="273">
        <v>7102.99</v>
      </c>
    </row>
    <row r="294" spans="6:64" s="273" customFormat="1" ht="12.75">
      <c r="F294" s="273">
        <v>687</v>
      </c>
      <c r="G294" s="273" t="s">
        <v>229</v>
      </c>
      <c r="H294" s="273">
        <v>93</v>
      </c>
      <c r="I294" s="273">
        <v>14</v>
      </c>
      <c r="J294" s="273">
        <v>80</v>
      </c>
      <c r="K294" s="273">
        <v>42</v>
      </c>
      <c r="L294" s="273">
        <v>1170</v>
      </c>
      <c r="M294" s="273">
        <v>297</v>
      </c>
      <c r="N294" s="273">
        <v>217</v>
      </c>
      <c r="O294" s="273">
        <v>71</v>
      </c>
      <c r="P294" s="273">
        <v>1848</v>
      </c>
      <c r="Q294" s="273">
        <v>0</v>
      </c>
      <c r="R294" s="273">
        <v>0</v>
      </c>
      <c r="S294" s="273">
        <v>1150.93</v>
      </c>
      <c r="T294" s="273">
        <v>1.6056580330689094</v>
      </c>
      <c r="U294" s="273">
        <v>0</v>
      </c>
      <c r="V294" s="273">
        <v>0</v>
      </c>
      <c r="W294" s="273">
        <v>570</v>
      </c>
      <c r="X294" s="273">
        <v>117</v>
      </c>
      <c r="Y294" s="273">
        <v>8</v>
      </c>
      <c r="Z294" s="273">
        <v>0.820172043979244</v>
      </c>
      <c r="AA294" s="273">
        <v>7</v>
      </c>
      <c r="AB294" s="273">
        <v>7</v>
      </c>
      <c r="AC294" s="273">
        <v>2.450565103168956</v>
      </c>
      <c r="AD294" s="273">
        <v>177</v>
      </c>
      <c r="AE294" s="273">
        <v>9</v>
      </c>
      <c r="AF294" s="273">
        <v>3</v>
      </c>
      <c r="AG294" s="273">
        <v>1</v>
      </c>
      <c r="AH294" s="273">
        <v>190</v>
      </c>
      <c r="AI294" s="273">
        <v>2.044274123089583</v>
      </c>
      <c r="AJ294" s="273">
        <v>689</v>
      </c>
      <c r="AK294" s="273">
        <v>78</v>
      </c>
      <c r="AL294" s="273">
        <v>1.1977651736538382</v>
      </c>
      <c r="AM294" s="273">
        <v>2.65978615120715</v>
      </c>
      <c r="AN294" s="273">
        <v>0.0800000000000001</v>
      </c>
      <c r="AO294" s="273">
        <v>0</v>
      </c>
      <c r="AP294" s="273">
        <f t="shared" si="3"/>
        <v>0.0800000000000001</v>
      </c>
      <c r="AQ294" s="273">
        <v>78279.17512978334</v>
      </c>
      <c r="AR294" s="273">
        <v>1147042.3028199985</v>
      </c>
      <c r="AS294" s="273">
        <v>1</v>
      </c>
      <c r="AT294" s="273">
        <v>1848</v>
      </c>
      <c r="AU294" s="273">
        <v>0</v>
      </c>
      <c r="AV294" s="273">
        <v>0</v>
      </c>
      <c r="AW294" s="273">
        <v>0</v>
      </c>
      <c r="AX294" s="273">
        <v>1.0983666666666667</v>
      </c>
      <c r="AY294" s="273">
        <v>1150.93</v>
      </c>
      <c r="AZ294" s="273">
        <v>1.6056580330689094</v>
      </c>
      <c r="BA294" s="273">
        <v>819</v>
      </c>
      <c r="BB294" s="273">
        <v>0.4431818181818182</v>
      </c>
      <c r="BC294" s="273">
        <v>0</v>
      </c>
      <c r="BD294" s="273">
        <v>0</v>
      </c>
      <c r="BE294" s="273">
        <v>1949</v>
      </c>
      <c r="BF294" s="273">
        <v>1848</v>
      </c>
      <c r="BG294" s="273">
        <v>-0.051821446895844024</v>
      </c>
      <c r="BH294" s="273">
        <v>0</v>
      </c>
      <c r="BI294" s="273">
        <v>0</v>
      </c>
      <c r="BJ294" s="273">
        <v>0</v>
      </c>
      <c r="BK294" s="273">
        <v>522227.6152242852</v>
      </c>
      <c r="BL294" s="273">
        <v>8399.14</v>
      </c>
    </row>
    <row r="295" spans="6:64" s="273" customFormat="1" ht="12.75">
      <c r="F295" s="273">
        <v>689</v>
      </c>
      <c r="G295" s="273" t="s">
        <v>230</v>
      </c>
      <c r="H295" s="273">
        <v>175</v>
      </c>
      <c r="I295" s="273">
        <v>24</v>
      </c>
      <c r="J295" s="273">
        <v>185</v>
      </c>
      <c r="K295" s="273">
        <v>131</v>
      </c>
      <c r="L295" s="273">
        <v>2522</v>
      </c>
      <c r="M295" s="273">
        <v>574</v>
      </c>
      <c r="N295" s="273">
        <v>420</v>
      </c>
      <c r="O295" s="273">
        <v>141</v>
      </c>
      <c r="P295" s="273">
        <v>3832</v>
      </c>
      <c r="Q295" s="273">
        <v>0</v>
      </c>
      <c r="R295" s="273">
        <v>2</v>
      </c>
      <c r="S295" s="273">
        <v>351.64</v>
      </c>
      <c r="T295" s="273">
        <v>10.897508815834376</v>
      </c>
      <c r="U295" s="273">
        <v>0</v>
      </c>
      <c r="V295" s="273">
        <v>0</v>
      </c>
      <c r="W295" s="273">
        <v>1388</v>
      </c>
      <c r="X295" s="273">
        <v>106</v>
      </c>
      <c r="Y295" s="273">
        <v>17</v>
      </c>
      <c r="Z295" s="273">
        <v>0.9574604998077162</v>
      </c>
      <c r="AA295" s="273">
        <v>5</v>
      </c>
      <c r="AB295" s="273">
        <v>5</v>
      </c>
      <c r="AC295" s="273">
        <v>0.8441403800060079</v>
      </c>
      <c r="AD295" s="273">
        <v>238</v>
      </c>
      <c r="AE295" s="273">
        <v>17</v>
      </c>
      <c r="AF295" s="273">
        <v>6</v>
      </c>
      <c r="AG295" s="273">
        <v>1</v>
      </c>
      <c r="AH295" s="273">
        <v>262</v>
      </c>
      <c r="AI295" s="273">
        <v>1.3594501535834276</v>
      </c>
      <c r="AJ295" s="273">
        <v>1599</v>
      </c>
      <c r="AK295" s="273">
        <v>182</v>
      </c>
      <c r="AL295" s="273">
        <v>1.2042571258145636</v>
      </c>
      <c r="AM295" s="273">
        <v>1.97294449781908</v>
      </c>
      <c r="AN295" s="273">
        <v>0.05</v>
      </c>
      <c r="AO295" s="273">
        <v>0</v>
      </c>
      <c r="AP295" s="273">
        <f t="shared" si="3"/>
        <v>0.05</v>
      </c>
      <c r="AQ295" s="273">
        <v>-30003.020192259923</v>
      </c>
      <c r="AR295" s="273">
        <v>921260.0789894765</v>
      </c>
      <c r="AS295" s="273">
        <v>1</v>
      </c>
      <c r="AT295" s="273">
        <v>3832</v>
      </c>
      <c r="AU295" s="273">
        <v>0</v>
      </c>
      <c r="AV295" s="273">
        <v>0</v>
      </c>
      <c r="AW295" s="273">
        <v>0</v>
      </c>
      <c r="AX295" s="273">
        <v>0.5586</v>
      </c>
      <c r="AY295" s="273">
        <v>351.64</v>
      </c>
      <c r="AZ295" s="273">
        <v>10.897508815834376</v>
      </c>
      <c r="BA295" s="273">
        <v>2147</v>
      </c>
      <c r="BB295" s="273">
        <v>0.5602818371607515</v>
      </c>
      <c r="BC295" s="273">
        <v>0</v>
      </c>
      <c r="BD295" s="273">
        <v>0</v>
      </c>
      <c r="BE295" s="273">
        <v>4096</v>
      </c>
      <c r="BF295" s="273">
        <v>3832</v>
      </c>
      <c r="BG295" s="273">
        <v>-0.064453125</v>
      </c>
      <c r="BH295" s="273">
        <v>1</v>
      </c>
      <c r="BI295" s="273">
        <v>0</v>
      </c>
      <c r="BJ295" s="273">
        <v>0</v>
      </c>
      <c r="BK295" s="273">
        <v>697866.8435810299</v>
      </c>
      <c r="BL295" s="273">
        <v>6732.17</v>
      </c>
    </row>
    <row r="296" spans="6:64" s="273" customFormat="1" ht="12.75">
      <c r="F296" s="273">
        <v>691</v>
      </c>
      <c r="G296" s="273" t="s">
        <v>231</v>
      </c>
      <c r="H296" s="273">
        <v>257</v>
      </c>
      <c r="I296" s="273">
        <v>43</v>
      </c>
      <c r="J296" s="273">
        <v>258</v>
      </c>
      <c r="K296" s="273">
        <v>120</v>
      </c>
      <c r="L296" s="273">
        <v>2111</v>
      </c>
      <c r="M296" s="273">
        <v>344</v>
      </c>
      <c r="N296" s="273">
        <v>214</v>
      </c>
      <c r="O296" s="273">
        <v>70</v>
      </c>
      <c r="P296" s="273">
        <v>2996</v>
      </c>
      <c r="Q296" s="273">
        <v>1</v>
      </c>
      <c r="R296" s="273">
        <v>0</v>
      </c>
      <c r="S296" s="273">
        <v>474.36</v>
      </c>
      <c r="T296" s="273">
        <v>6.315878235938949</v>
      </c>
      <c r="U296" s="273">
        <v>0</v>
      </c>
      <c r="V296" s="273">
        <v>0</v>
      </c>
      <c r="W296" s="273">
        <v>1106</v>
      </c>
      <c r="X296" s="273">
        <v>299</v>
      </c>
      <c r="Y296" s="273">
        <v>14</v>
      </c>
      <c r="Z296" s="273">
        <v>0.753247791614804</v>
      </c>
      <c r="AA296" s="273">
        <v>2</v>
      </c>
      <c r="AB296" s="273">
        <v>2</v>
      </c>
      <c r="AC296" s="273">
        <v>0.43187529188024326</v>
      </c>
      <c r="AD296" s="273">
        <v>206</v>
      </c>
      <c r="AE296" s="273">
        <v>18</v>
      </c>
      <c r="AF296" s="273">
        <v>9</v>
      </c>
      <c r="AG296" s="273">
        <v>1</v>
      </c>
      <c r="AH296" s="273">
        <v>234</v>
      </c>
      <c r="AI296" s="273">
        <v>1.5529645625674138</v>
      </c>
      <c r="AJ296" s="273">
        <v>1225</v>
      </c>
      <c r="AK296" s="273">
        <v>72</v>
      </c>
      <c r="AL296" s="273">
        <v>0.6218601228112988</v>
      </c>
      <c r="AM296" s="273">
        <v>1.90137344642837</v>
      </c>
      <c r="AN296" s="273">
        <v>0</v>
      </c>
      <c r="AO296" s="273">
        <v>0</v>
      </c>
      <c r="AP296" s="273">
        <f t="shared" si="3"/>
        <v>0</v>
      </c>
      <c r="AQ296" s="273">
        <v>17542.227682605386</v>
      </c>
      <c r="AR296" s="273">
        <v>2603433.304685715</v>
      </c>
      <c r="AS296" s="273">
        <v>1</v>
      </c>
      <c r="AT296" s="273">
        <v>2996</v>
      </c>
      <c r="AU296" s="273">
        <v>0</v>
      </c>
      <c r="AV296" s="273">
        <v>0</v>
      </c>
      <c r="AW296" s="273">
        <v>0</v>
      </c>
      <c r="AX296" s="273">
        <v>0.49546666666666667</v>
      </c>
      <c r="AY296" s="273">
        <v>474.36</v>
      </c>
      <c r="AZ296" s="273">
        <v>6.315878235938949</v>
      </c>
      <c r="BA296" s="273">
        <v>1230</v>
      </c>
      <c r="BB296" s="273">
        <v>0.4105473965287049</v>
      </c>
      <c r="BC296" s="273">
        <v>0</v>
      </c>
      <c r="BD296" s="273">
        <v>0</v>
      </c>
      <c r="BE296" s="273">
        <v>2990</v>
      </c>
      <c r="BF296" s="273">
        <v>2996</v>
      </c>
      <c r="BG296" s="273">
        <v>0.002006688963210702</v>
      </c>
      <c r="BH296" s="273">
        <v>0</v>
      </c>
      <c r="BI296" s="273">
        <v>0</v>
      </c>
      <c r="BJ296" s="273">
        <v>0</v>
      </c>
      <c r="BK296" s="273">
        <v>611207.2402047435</v>
      </c>
      <c r="BL296" s="273">
        <v>7107.48</v>
      </c>
    </row>
    <row r="297" spans="6:64" s="273" customFormat="1" ht="12.75">
      <c r="F297" s="273">
        <v>694</v>
      </c>
      <c r="G297" s="273" t="s">
        <v>232</v>
      </c>
      <c r="H297" s="273">
        <v>2417</v>
      </c>
      <c r="I297" s="273">
        <v>334</v>
      </c>
      <c r="J297" s="273">
        <v>1863</v>
      </c>
      <c r="K297" s="273">
        <v>996</v>
      </c>
      <c r="L297" s="273">
        <v>21656</v>
      </c>
      <c r="M297" s="273">
        <v>2685</v>
      </c>
      <c r="N297" s="273">
        <v>1612</v>
      </c>
      <c r="O297" s="273">
        <v>648</v>
      </c>
      <c r="P297" s="273">
        <v>29018</v>
      </c>
      <c r="Q297" s="273">
        <v>20</v>
      </c>
      <c r="R297" s="273">
        <v>93</v>
      </c>
      <c r="S297" s="273">
        <v>121.03</v>
      </c>
      <c r="T297" s="273">
        <v>239.75873750309842</v>
      </c>
      <c r="U297" s="273">
        <v>0</v>
      </c>
      <c r="V297" s="273">
        <v>0</v>
      </c>
      <c r="W297" s="273">
        <v>12670</v>
      </c>
      <c r="X297" s="273">
        <v>91</v>
      </c>
      <c r="Y297" s="273">
        <v>100</v>
      </c>
      <c r="Z297" s="273">
        <v>1.0347203167680326</v>
      </c>
      <c r="AA297" s="273">
        <v>51</v>
      </c>
      <c r="AB297" s="273">
        <v>51</v>
      </c>
      <c r="AC297" s="273">
        <v>1.1370324815310093</v>
      </c>
      <c r="AD297" s="273">
        <v>1198</v>
      </c>
      <c r="AE297" s="273">
        <v>172</v>
      </c>
      <c r="AF297" s="273">
        <v>50</v>
      </c>
      <c r="AG297" s="273">
        <v>6</v>
      </c>
      <c r="AH297" s="273">
        <v>1426</v>
      </c>
      <c r="AI297" s="273">
        <v>0.9771011993143235</v>
      </c>
      <c r="AJ297" s="273">
        <v>14251</v>
      </c>
      <c r="AK297" s="273">
        <v>1340</v>
      </c>
      <c r="AL297" s="273">
        <v>0.9948457726112271</v>
      </c>
      <c r="AM297" s="273">
        <v>0.957016843533593</v>
      </c>
      <c r="AN297" s="273">
        <v>0</v>
      </c>
      <c r="AO297" s="273">
        <v>0</v>
      </c>
      <c r="AP297" s="273">
        <f t="shared" si="3"/>
        <v>0</v>
      </c>
      <c r="AQ297" s="273">
        <v>-40213.59984558821</v>
      </c>
      <c r="AR297" s="273">
        <v>-3003429.7357249684</v>
      </c>
      <c r="AS297" s="273">
        <v>1</v>
      </c>
      <c r="AT297" s="273">
        <v>29018</v>
      </c>
      <c r="AU297" s="273">
        <v>0</v>
      </c>
      <c r="AV297" s="273">
        <v>0</v>
      </c>
      <c r="AW297" s="273">
        <v>0</v>
      </c>
      <c r="AX297" s="273">
        <v>0</v>
      </c>
      <c r="AY297" s="273">
        <v>121.03</v>
      </c>
      <c r="AZ297" s="273">
        <v>239.75873750309842</v>
      </c>
      <c r="BA297" s="273">
        <v>27809</v>
      </c>
      <c r="BB297" s="273">
        <v>0.9583362051140671</v>
      </c>
      <c r="BC297" s="273">
        <v>0</v>
      </c>
      <c r="BD297" s="273">
        <v>0</v>
      </c>
      <c r="BE297" s="273">
        <v>28536</v>
      </c>
      <c r="BF297" s="273">
        <v>29018</v>
      </c>
      <c r="BG297" s="273">
        <v>0.016890944771516682</v>
      </c>
      <c r="BH297" s="273">
        <v>0</v>
      </c>
      <c r="BI297" s="273">
        <v>0</v>
      </c>
      <c r="BJ297" s="273">
        <v>0</v>
      </c>
      <c r="BK297" s="273">
        <v>4586134.241653663</v>
      </c>
      <c r="BL297" s="273">
        <v>5893.59</v>
      </c>
    </row>
    <row r="298" spans="6:64" s="273" customFormat="1" ht="12.75">
      <c r="F298" s="273">
        <v>697</v>
      </c>
      <c r="G298" s="273" t="s">
        <v>233</v>
      </c>
      <c r="H298" s="273">
        <v>59</v>
      </c>
      <c r="I298" s="273">
        <v>7</v>
      </c>
      <c r="J298" s="273">
        <v>69</v>
      </c>
      <c r="K298" s="273">
        <v>40</v>
      </c>
      <c r="L298" s="273">
        <v>975</v>
      </c>
      <c r="M298" s="273">
        <v>188</v>
      </c>
      <c r="N298" s="273">
        <v>196</v>
      </c>
      <c r="O298" s="273">
        <v>71</v>
      </c>
      <c r="P298" s="273">
        <v>1489</v>
      </c>
      <c r="Q298" s="273">
        <v>0</v>
      </c>
      <c r="R298" s="273">
        <v>0</v>
      </c>
      <c r="S298" s="273">
        <v>835.61</v>
      </c>
      <c r="T298" s="273">
        <v>1.7819317624250548</v>
      </c>
      <c r="U298" s="273">
        <v>0</v>
      </c>
      <c r="V298" s="273">
        <v>0</v>
      </c>
      <c r="W298" s="273">
        <v>528</v>
      </c>
      <c r="X298" s="273">
        <v>97</v>
      </c>
      <c r="Y298" s="273">
        <v>8</v>
      </c>
      <c r="Z298" s="273">
        <v>0.8416397749567396</v>
      </c>
      <c r="AA298" s="273">
        <v>3</v>
      </c>
      <c r="AB298" s="273">
        <v>2</v>
      </c>
      <c r="AC298" s="273">
        <v>0.8689713730511812</v>
      </c>
      <c r="AD298" s="273">
        <v>150</v>
      </c>
      <c r="AE298" s="273">
        <v>7</v>
      </c>
      <c r="AF298" s="273">
        <v>2</v>
      </c>
      <c r="AG298" s="273">
        <v>0</v>
      </c>
      <c r="AH298" s="273">
        <v>159</v>
      </c>
      <c r="AI298" s="273">
        <v>2.1231952003664007</v>
      </c>
      <c r="AJ298" s="273">
        <v>609</v>
      </c>
      <c r="AK298" s="273">
        <v>54</v>
      </c>
      <c r="AL298" s="273">
        <v>0.9381510473446318</v>
      </c>
      <c r="AM298" s="273">
        <v>1.67366445700434</v>
      </c>
      <c r="AN298" s="273">
        <v>0.05</v>
      </c>
      <c r="AO298" s="273">
        <v>0</v>
      </c>
      <c r="AP298" s="273">
        <f t="shared" si="3"/>
        <v>0.05</v>
      </c>
      <c r="AQ298" s="273">
        <v>104403.79041090794</v>
      </c>
      <c r="AR298" s="273">
        <v>1253023.802546835</v>
      </c>
      <c r="AS298" s="273">
        <v>0</v>
      </c>
      <c r="AT298" s="273">
        <v>1489</v>
      </c>
      <c r="AU298" s="273">
        <v>0</v>
      </c>
      <c r="AV298" s="273">
        <v>0</v>
      </c>
      <c r="AW298" s="273">
        <v>0</v>
      </c>
      <c r="AX298" s="273">
        <v>0.6009833333333333</v>
      </c>
      <c r="AY298" s="273">
        <v>835.61</v>
      </c>
      <c r="AZ298" s="273">
        <v>1.7819317624250548</v>
      </c>
      <c r="BA298" s="273">
        <v>630</v>
      </c>
      <c r="BB298" s="273">
        <v>0.4231027535258563</v>
      </c>
      <c r="BC298" s="273">
        <v>0</v>
      </c>
      <c r="BD298" s="273">
        <v>0</v>
      </c>
      <c r="BE298" s="273">
        <v>1548</v>
      </c>
      <c r="BF298" s="273">
        <v>1489</v>
      </c>
      <c r="BG298" s="273">
        <v>-0.03811369509043928</v>
      </c>
      <c r="BH298" s="273">
        <v>0</v>
      </c>
      <c r="BI298" s="273">
        <v>0</v>
      </c>
      <c r="BJ298" s="273">
        <v>0</v>
      </c>
      <c r="BK298" s="273">
        <v>348415.0255901389</v>
      </c>
      <c r="BL298" s="273">
        <v>8298.09</v>
      </c>
    </row>
    <row r="299" spans="6:64" s="273" customFormat="1" ht="12.75">
      <c r="F299" s="273">
        <v>698</v>
      </c>
      <c r="G299" s="273" t="s">
        <v>234</v>
      </c>
      <c r="H299" s="273">
        <v>5063</v>
      </c>
      <c r="I299" s="273">
        <v>641</v>
      </c>
      <c r="J299" s="273">
        <v>3868</v>
      </c>
      <c r="K299" s="273">
        <v>2023</v>
      </c>
      <c r="L299" s="273">
        <v>46074</v>
      </c>
      <c r="M299" s="273">
        <v>5201</v>
      </c>
      <c r="N299" s="273">
        <v>3293</v>
      </c>
      <c r="O299" s="273">
        <v>1006</v>
      </c>
      <c r="P299" s="273">
        <v>60637</v>
      </c>
      <c r="Q299" s="273">
        <v>7</v>
      </c>
      <c r="R299" s="273">
        <v>153</v>
      </c>
      <c r="S299" s="273">
        <v>7581.96</v>
      </c>
      <c r="T299" s="273">
        <v>7.997536257115574</v>
      </c>
      <c r="U299" s="273">
        <v>0</v>
      </c>
      <c r="V299" s="273">
        <v>0</v>
      </c>
      <c r="W299" s="273">
        <v>24447</v>
      </c>
      <c r="X299" s="273">
        <v>628</v>
      </c>
      <c r="Y299" s="273">
        <v>297</v>
      </c>
      <c r="Z299" s="273">
        <v>1.0108075563172867</v>
      </c>
      <c r="AA299" s="273">
        <v>80</v>
      </c>
      <c r="AB299" s="273">
        <v>80</v>
      </c>
      <c r="AC299" s="273">
        <v>0.8535371964135486</v>
      </c>
      <c r="AD299" s="273">
        <v>2601</v>
      </c>
      <c r="AE299" s="273">
        <v>383</v>
      </c>
      <c r="AF299" s="273">
        <v>144</v>
      </c>
      <c r="AG299" s="273">
        <v>28</v>
      </c>
      <c r="AH299" s="273">
        <v>3156</v>
      </c>
      <c r="AI299" s="273">
        <v>1.0348723540174705</v>
      </c>
      <c r="AJ299" s="273">
        <v>28597</v>
      </c>
      <c r="AK299" s="273">
        <v>3507</v>
      </c>
      <c r="AL299" s="273">
        <v>1.2975126213251538</v>
      </c>
      <c r="AM299" s="273">
        <v>1.0680084744675</v>
      </c>
      <c r="AN299" s="273">
        <v>0</v>
      </c>
      <c r="AO299" s="273">
        <v>0</v>
      </c>
      <c r="AP299" s="273">
        <f t="shared" si="3"/>
        <v>0</v>
      </c>
      <c r="AQ299" s="273">
        <v>-851137.8510162681</v>
      </c>
      <c r="AR299" s="273">
        <v>8082264.707384984</v>
      </c>
      <c r="AS299" s="273">
        <v>1</v>
      </c>
      <c r="AT299" s="273">
        <v>60637</v>
      </c>
      <c r="AU299" s="273">
        <v>0</v>
      </c>
      <c r="AV299" s="273">
        <v>0</v>
      </c>
      <c r="AW299" s="273">
        <v>0</v>
      </c>
      <c r="AX299" s="273">
        <v>0</v>
      </c>
      <c r="AY299" s="273">
        <v>7581.96</v>
      </c>
      <c r="AZ299" s="273">
        <v>7.997536257115574</v>
      </c>
      <c r="BA299" s="273">
        <v>53376</v>
      </c>
      <c r="BB299" s="273">
        <v>0.8802546300113792</v>
      </c>
      <c r="BC299" s="273">
        <v>0</v>
      </c>
      <c r="BD299" s="273">
        <v>0</v>
      </c>
      <c r="BE299" s="273">
        <v>59353</v>
      </c>
      <c r="BF299" s="273">
        <v>60637</v>
      </c>
      <c r="BG299" s="273">
        <v>0.02163327885700807</v>
      </c>
      <c r="BH299" s="273">
        <v>0</v>
      </c>
      <c r="BI299" s="273">
        <v>122</v>
      </c>
      <c r="BJ299" s="273">
        <v>0.0020119728878407574</v>
      </c>
      <c r="BK299" s="273">
        <v>10024727.894281248</v>
      </c>
      <c r="BL299" s="273">
        <v>6972.75</v>
      </c>
    </row>
    <row r="300" spans="6:64" s="273" customFormat="1" ht="12.75">
      <c r="F300" s="273">
        <v>700</v>
      </c>
      <c r="G300" s="273" t="s">
        <v>235</v>
      </c>
      <c r="H300" s="273">
        <v>335</v>
      </c>
      <c r="I300" s="273">
        <v>46</v>
      </c>
      <c r="J300" s="273">
        <v>329</v>
      </c>
      <c r="K300" s="273">
        <v>186</v>
      </c>
      <c r="L300" s="273">
        <v>3754</v>
      </c>
      <c r="M300" s="273">
        <v>755</v>
      </c>
      <c r="N300" s="273">
        <v>570</v>
      </c>
      <c r="O300" s="273">
        <v>181</v>
      </c>
      <c r="P300" s="273">
        <v>5595</v>
      </c>
      <c r="Q300" s="273">
        <v>1</v>
      </c>
      <c r="R300" s="273">
        <v>3</v>
      </c>
      <c r="S300" s="273">
        <v>943.49</v>
      </c>
      <c r="T300" s="273">
        <v>5.930110547011627</v>
      </c>
      <c r="U300" s="273">
        <v>1</v>
      </c>
      <c r="V300" s="273">
        <v>0</v>
      </c>
      <c r="W300" s="273">
        <v>2100</v>
      </c>
      <c r="X300" s="273">
        <v>193</v>
      </c>
      <c r="Y300" s="273">
        <v>30</v>
      </c>
      <c r="Z300" s="273">
        <v>0.9389982537538293</v>
      </c>
      <c r="AA300" s="273">
        <v>8</v>
      </c>
      <c r="AB300" s="273">
        <v>8</v>
      </c>
      <c r="AC300" s="273">
        <v>0.9250390523490322</v>
      </c>
      <c r="AD300" s="273">
        <v>356</v>
      </c>
      <c r="AE300" s="273">
        <v>16</v>
      </c>
      <c r="AF300" s="273">
        <v>15</v>
      </c>
      <c r="AG300" s="273">
        <v>2</v>
      </c>
      <c r="AH300" s="273">
        <v>389</v>
      </c>
      <c r="AI300" s="273">
        <v>1.3824104486276796</v>
      </c>
      <c r="AJ300" s="273">
        <v>2443</v>
      </c>
      <c r="AK300" s="273">
        <v>244</v>
      </c>
      <c r="AL300" s="273">
        <v>1.0567266493171943</v>
      </c>
      <c r="AM300" s="273">
        <v>1.21312470752483</v>
      </c>
      <c r="AN300" s="273">
        <v>0</v>
      </c>
      <c r="AO300" s="273">
        <v>0</v>
      </c>
      <c r="AP300" s="273">
        <f t="shared" si="3"/>
        <v>0</v>
      </c>
      <c r="AQ300" s="273">
        <v>-18757.48855673708</v>
      </c>
      <c r="AR300" s="273">
        <v>277220.5551783756</v>
      </c>
      <c r="AS300" s="273">
        <v>1</v>
      </c>
      <c r="AT300" s="273">
        <v>5595</v>
      </c>
      <c r="AU300" s="273">
        <v>1</v>
      </c>
      <c r="AV300" s="273">
        <v>408</v>
      </c>
      <c r="AW300" s="273">
        <v>0.07292225201072386</v>
      </c>
      <c r="AX300" s="273">
        <v>0</v>
      </c>
      <c r="AY300" s="273">
        <v>943.49</v>
      </c>
      <c r="AZ300" s="273">
        <v>5.930110547011627</v>
      </c>
      <c r="BA300" s="273">
        <v>3288</v>
      </c>
      <c r="BB300" s="273">
        <v>0.5876675603217159</v>
      </c>
      <c r="BC300" s="273">
        <v>0</v>
      </c>
      <c r="BD300" s="273">
        <v>0</v>
      </c>
      <c r="BE300" s="273">
        <v>5730</v>
      </c>
      <c r="BF300" s="273">
        <v>5595</v>
      </c>
      <c r="BG300" s="273">
        <v>-0.02356020942408377</v>
      </c>
      <c r="BH300" s="273">
        <v>0</v>
      </c>
      <c r="BI300" s="273">
        <v>0</v>
      </c>
      <c r="BJ300" s="273">
        <v>0</v>
      </c>
      <c r="BK300" s="273">
        <v>927302.7400851862</v>
      </c>
      <c r="BL300" s="273">
        <v>7147.38</v>
      </c>
    </row>
    <row r="301" spans="6:64" s="273" customFormat="1" ht="12.75">
      <c r="F301" s="273">
        <v>702</v>
      </c>
      <c r="G301" s="273" t="s">
        <v>236</v>
      </c>
      <c r="H301" s="273">
        <v>249</v>
      </c>
      <c r="I301" s="273">
        <v>37</v>
      </c>
      <c r="J301" s="273">
        <v>288</v>
      </c>
      <c r="K301" s="273">
        <v>154</v>
      </c>
      <c r="L301" s="273">
        <v>3217</v>
      </c>
      <c r="M301" s="273">
        <v>737</v>
      </c>
      <c r="N301" s="273">
        <v>535</v>
      </c>
      <c r="O301" s="273">
        <v>202</v>
      </c>
      <c r="P301" s="273">
        <v>4940</v>
      </c>
      <c r="Q301" s="273">
        <v>0</v>
      </c>
      <c r="R301" s="273">
        <v>5</v>
      </c>
      <c r="S301" s="273">
        <v>776.53</v>
      </c>
      <c r="T301" s="273">
        <v>6.361634450697333</v>
      </c>
      <c r="U301" s="273">
        <v>0</v>
      </c>
      <c r="V301" s="273">
        <v>0</v>
      </c>
      <c r="W301" s="273">
        <v>1913</v>
      </c>
      <c r="X301" s="273">
        <v>247</v>
      </c>
      <c r="Y301" s="273">
        <v>24</v>
      </c>
      <c r="Z301" s="273">
        <v>0.9017330539618736</v>
      </c>
      <c r="AA301" s="273">
        <v>4</v>
      </c>
      <c r="AB301" s="273">
        <v>2</v>
      </c>
      <c r="AC301" s="273">
        <v>0.2619227478690706</v>
      </c>
      <c r="AD301" s="273">
        <v>362</v>
      </c>
      <c r="AE301" s="273">
        <v>23</v>
      </c>
      <c r="AF301" s="273">
        <v>6</v>
      </c>
      <c r="AG301" s="273">
        <v>2</v>
      </c>
      <c r="AH301" s="273">
        <v>393</v>
      </c>
      <c r="AI301" s="273">
        <v>1.5818055633193404</v>
      </c>
      <c r="AJ301" s="273">
        <v>2124</v>
      </c>
      <c r="AK301" s="273">
        <v>202</v>
      </c>
      <c r="AL301" s="273">
        <v>1.006220491928593</v>
      </c>
      <c r="AM301" s="273">
        <v>1.13331996992011</v>
      </c>
      <c r="AN301" s="273">
        <v>0</v>
      </c>
      <c r="AO301" s="273">
        <v>0</v>
      </c>
      <c r="AP301" s="273">
        <f t="shared" si="3"/>
        <v>0</v>
      </c>
      <c r="AQ301" s="273">
        <v>-42497.95249035582</v>
      </c>
      <c r="AR301" s="273">
        <v>2686582.1005365844</v>
      </c>
      <c r="AS301" s="273">
        <v>1</v>
      </c>
      <c r="AT301" s="273">
        <v>4940</v>
      </c>
      <c r="AU301" s="273">
        <v>0</v>
      </c>
      <c r="AV301" s="273">
        <v>0</v>
      </c>
      <c r="AW301" s="273">
        <v>0</v>
      </c>
      <c r="AX301" s="273">
        <v>0.23</v>
      </c>
      <c r="AY301" s="273">
        <v>776.53</v>
      </c>
      <c r="AZ301" s="273">
        <v>6.361634450697333</v>
      </c>
      <c r="BA301" s="273">
        <v>2492</v>
      </c>
      <c r="BB301" s="273">
        <v>0.5044534412955466</v>
      </c>
      <c r="BC301" s="273">
        <v>0</v>
      </c>
      <c r="BD301" s="273">
        <v>0</v>
      </c>
      <c r="BE301" s="273">
        <v>5132</v>
      </c>
      <c r="BF301" s="273">
        <v>4940</v>
      </c>
      <c r="BG301" s="273">
        <v>-0.037412314886983634</v>
      </c>
      <c r="BH301" s="273">
        <v>0</v>
      </c>
      <c r="BI301" s="273">
        <v>0</v>
      </c>
      <c r="BJ301" s="273">
        <v>0</v>
      </c>
      <c r="BK301" s="273">
        <v>971657.1727181163</v>
      </c>
      <c r="BL301" s="273">
        <v>7108.06</v>
      </c>
    </row>
    <row r="302" spans="6:64" s="273" customFormat="1" ht="12.75">
      <c r="F302" s="273">
        <v>704</v>
      </c>
      <c r="G302" s="273" t="s">
        <v>237</v>
      </c>
      <c r="H302" s="273">
        <v>479</v>
      </c>
      <c r="I302" s="273">
        <v>80</v>
      </c>
      <c r="J302" s="273">
        <v>553</v>
      </c>
      <c r="K302" s="273">
        <v>316</v>
      </c>
      <c r="L302" s="273">
        <v>4564</v>
      </c>
      <c r="M302" s="273">
        <v>479</v>
      </c>
      <c r="N302" s="273">
        <v>258</v>
      </c>
      <c r="O302" s="273">
        <v>90</v>
      </c>
      <c r="P302" s="273">
        <v>5870</v>
      </c>
      <c r="Q302" s="273">
        <v>12</v>
      </c>
      <c r="R302" s="273">
        <v>6</v>
      </c>
      <c r="S302" s="273">
        <v>127.12</v>
      </c>
      <c r="T302" s="273">
        <v>46.176840780365005</v>
      </c>
      <c r="U302" s="273">
        <v>0</v>
      </c>
      <c r="V302" s="273">
        <v>0</v>
      </c>
      <c r="W302" s="273">
        <v>2715</v>
      </c>
      <c r="X302" s="273">
        <v>109</v>
      </c>
      <c r="Y302" s="273">
        <v>28</v>
      </c>
      <c r="Z302" s="273">
        <v>0.9975458950447907</v>
      </c>
      <c r="AA302" s="273">
        <v>16</v>
      </c>
      <c r="AB302" s="273">
        <v>16</v>
      </c>
      <c r="AC302" s="273">
        <v>1.7634049396568434</v>
      </c>
      <c r="AD302" s="273">
        <v>155</v>
      </c>
      <c r="AE302" s="273">
        <v>57</v>
      </c>
      <c r="AF302" s="273">
        <v>2</v>
      </c>
      <c r="AG302" s="273">
        <v>1</v>
      </c>
      <c r="AH302" s="273">
        <v>215</v>
      </c>
      <c r="AI302" s="273">
        <v>0.7282623460826263</v>
      </c>
      <c r="AJ302" s="273">
        <v>2945</v>
      </c>
      <c r="AK302" s="273">
        <v>166</v>
      </c>
      <c r="AL302" s="273">
        <v>0.5963745329828222</v>
      </c>
      <c r="AM302" s="273">
        <v>0.705956545320893</v>
      </c>
      <c r="AN302" s="273">
        <v>0</v>
      </c>
      <c r="AO302" s="273">
        <v>0</v>
      </c>
      <c r="AP302" s="273">
        <f t="shared" si="3"/>
        <v>0</v>
      </c>
      <c r="AQ302" s="273">
        <v>-138690.0078582205</v>
      </c>
      <c r="AR302" s="273">
        <v>-231756.1081270134</v>
      </c>
      <c r="AS302" s="273">
        <v>1</v>
      </c>
      <c r="AT302" s="273">
        <v>5870</v>
      </c>
      <c r="AU302" s="273">
        <v>0</v>
      </c>
      <c r="AV302" s="273">
        <v>0</v>
      </c>
      <c r="AW302" s="273">
        <v>0</v>
      </c>
      <c r="AX302" s="273">
        <v>0</v>
      </c>
      <c r="AY302" s="273">
        <v>127.12</v>
      </c>
      <c r="AZ302" s="273">
        <v>46.176840780365005</v>
      </c>
      <c r="BA302" s="273">
        <v>4275</v>
      </c>
      <c r="BB302" s="273">
        <v>0.7282793867120954</v>
      </c>
      <c r="BC302" s="273">
        <v>0</v>
      </c>
      <c r="BD302" s="273">
        <v>0</v>
      </c>
      <c r="BE302" s="273">
        <v>5758</v>
      </c>
      <c r="BF302" s="273">
        <v>5870</v>
      </c>
      <c r="BG302" s="273">
        <v>0.019451198332754428</v>
      </c>
      <c r="BH302" s="273">
        <v>0</v>
      </c>
      <c r="BI302" s="273">
        <v>0</v>
      </c>
      <c r="BJ302" s="273">
        <v>0</v>
      </c>
      <c r="BK302" s="273">
        <v>799331.7742605065</v>
      </c>
      <c r="BL302" s="273">
        <v>5872.46</v>
      </c>
    </row>
    <row r="303" spans="6:64" s="273" customFormat="1" ht="12.75">
      <c r="F303" s="273">
        <v>707</v>
      </c>
      <c r="G303" s="273" t="s">
        <v>238</v>
      </c>
      <c r="H303" s="273">
        <v>115</v>
      </c>
      <c r="I303" s="273">
        <v>22</v>
      </c>
      <c r="J303" s="273">
        <v>137</v>
      </c>
      <c r="K303" s="273">
        <v>80</v>
      </c>
      <c r="L303" s="273">
        <v>1718</v>
      </c>
      <c r="M303" s="273">
        <v>346</v>
      </c>
      <c r="N303" s="273">
        <v>253</v>
      </c>
      <c r="O303" s="273">
        <v>100</v>
      </c>
      <c r="P303" s="273">
        <v>2532</v>
      </c>
      <c r="Q303" s="273">
        <v>0</v>
      </c>
      <c r="R303" s="273">
        <v>17</v>
      </c>
      <c r="S303" s="273">
        <v>427.68</v>
      </c>
      <c r="T303" s="273">
        <v>5.920314253647587</v>
      </c>
      <c r="U303" s="273">
        <v>1</v>
      </c>
      <c r="V303" s="273">
        <v>0</v>
      </c>
      <c r="W303" s="273">
        <v>845</v>
      </c>
      <c r="X303" s="273">
        <v>227</v>
      </c>
      <c r="Y303" s="273">
        <v>23</v>
      </c>
      <c r="Z303" s="273">
        <v>0.739741636102814</v>
      </c>
      <c r="AA303" s="273">
        <v>3</v>
      </c>
      <c r="AB303" s="273">
        <v>2</v>
      </c>
      <c r="AC303" s="273">
        <v>0.5110183153527681</v>
      </c>
      <c r="AD303" s="273">
        <v>195</v>
      </c>
      <c r="AE303" s="273">
        <v>7</v>
      </c>
      <c r="AF303" s="273">
        <v>3</v>
      </c>
      <c r="AG303" s="273">
        <v>1</v>
      </c>
      <c r="AH303" s="273">
        <v>206</v>
      </c>
      <c r="AI303" s="273">
        <v>1.6176740404313776</v>
      </c>
      <c r="AJ303" s="273">
        <v>1045</v>
      </c>
      <c r="AK303" s="273">
        <v>148</v>
      </c>
      <c r="AL303" s="273">
        <v>1.4984481694004317</v>
      </c>
      <c r="AM303" s="273">
        <v>1.81589253222646</v>
      </c>
      <c r="AN303" s="273">
        <v>0</v>
      </c>
      <c r="AO303" s="273">
        <v>0</v>
      </c>
      <c r="AP303" s="273">
        <f t="shared" si="3"/>
        <v>0</v>
      </c>
      <c r="AQ303" s="273">
        <v>152966.38367605582</v>
      </c>
      <c r="AR303" s="273">
        <v>2843963.8434285703</v>
      </c>
      <c r="AS303" s="273">
        <v>0</v>
      </c>
      <c r="AT303" s="273">
        <v>2532</v>
      </c>
      <c r="AU303" s="273">
        <v>1</v>
      </c>
      <c r="AV303" s="273">
        <v>447</v>
      </c>
      <c r="AW303" s="273">
        <v>0.17654028436018956</v>
      </c>
      <c r="AX303" s="273">
        <v>0.36293333333333333</v>
      </c>
      <c r="AY303" s="273">
        <v>427.68</v>
      </c>
      <c r="AZ303" s="273">
        <v>5.920314253647587</v>
      </c>
      <c r="BA303" s="273">
        <v>687</v>
      </c>
      <c r="BB303" s="273">
        <v>0.2713270142180095</v>
      </c>
      <c r="BC303" s="273">
        <v>0</v>
      </c>
      <c r="BD303" s="273">
        <v>0</v>
      </c>
      <c r="BE303" s="273">
        <v>2671</v>
      </c>
      <c r="BF303" s="273">
        <v>2532</v>
      </c>
      <c r="BG303" s="273">
        <v>-0.05204043429427181</v>
      </c>
      <c r="BH303" s="273">
        <v>0</v>
      </c>
      <c r="BI303" s="273">
        <v>0</v>
      </c>
      <c r="BJ303" s="273">
        <v>0</v>
      </c>
      <c r="BK303" s="273">
        <v>841771.1348270817</v>
      </c>
      <c r="BL303" s="273">
        <v>7234.09</v>
      </c>
    </row>
    <row r="304" spans="6:64" s="273" customFormat="1" ht="12.75">
      <c r="F304" s="273">
        <v>729</v>
      </c>
      <c r="G304" s="273" t="s">
        <v>239</v>
      </c>
      <c r="H304" s="273">
        <v>687</v>
      </c>
      <c r="I304" s="273">
        <v>97</v>
      </c>
      <c r="J304" s="273">
        <v>614</v>
      </c>
      <c r="K304" s="273">
        <v>350</v>
      </c>
      <c r="L304" s="273">
        <v>7150</v>
      </c>
      <c r="M304" s="273">
        <v>1261</v>
      </c>
      <c r="N304" s="273">
        <v>939</v>
      </c>
      <c r="O304" s="273">
        <v>343</v>
      </c>
      <c r="P304" s="273">
        <v>10380</v>
      </c>
      <c r="Q304" s="273">
        <v>0</v>
      </c>
      <c r="R304" s="273">
        <v>2</v>
      </c>
      <c r="S304" s="273">
        <v>1251.94</v>
      </c>
      <c r="T304" s="273">
        <v>8.291132162883205</v>
      </c>
      <c r="U304" s="273">
        <v>0</v>
      </c>
      <c r="V304" s="273">
        <v>0</v>
      </c>
      <c r="W304" s="273">
        <v>3741</v>
      </c>
      <c r="X304" s="273">
        <v>441</v>
      </c>
      <c r="Y304" s="273">
        <v>55</v>
      </c>
      <c r="Z304" s="273">
        <v>0.911269426336291</v>
      </c>
      <c r="AA304" s="273">
        <v>21</v>
      </c>
      <c r="AB304" s="273">
        <v>21</v>
      </c>
      <c r="AC304" s="273">
        <v>1.3088567371838817</v>
      </c>
      <c r="AD304" s="273">
        <v>607</v>
      </c>
      <c r="AE304" s="273">
        <v>55</v>
      </c>
      <c r="AF304" s="273">
        <v>25</v>
      </c>
      <c r="AG304" s="273">
        <v>17</v>
      </c>
      <c r="AH304" s="273">
        <v>704</v>
      </c>
      <c r="AI304" s="273">
        <v>1.3485368015143306</v>
      </c>
      <c r="AJ304" s="273">
        <v>4531</v>
      </c>
      <c r="AK304" s="273">
        <v>634</v>
      </c>
      <c r="AL304" s="273">
        <v>1.4804423366849213</v>
      </c>
      <c r="AM304" s="273">
        <v>1.19401996700452</v>
      </c>
      <c r="AN304" s="273">
        <v>0</v>
      </c>
      <c r="AO304" s="273">
        <v>0</v>
      </c>
      <c r="AP304" s="273">
        <f t="shared" si="3"/>
        <v>0</v>
      </c>
      <c r="AQ304" s="273">
        <v>251383.7136722952</v>
      </c>
      <c r="AR304" s="273">
        <v>7557451.312369998</v>
      </c>
      <c r="AS304" s="273">
        <v>1</v>
      </c>
      <c r="AT304" s="273">
        <v>10380</v>
      </c>
      <c r="AU304" s="273">
        <v>0</v>
      </c>
      <c r="AV304" s="273">
        <v>0</v>
      </c>
      <c r="AW304" s="273">
        <v>0</v>
      </c>
      <c r="AX304" s="273">
        <v>0.0918</v>
      </c>
      <c r="AY304" s="273">
        <v>1251.94</v>
      </c>
      <c r="AZ304" s="273">
        <v>8.291132162883205</v>
      </c>
      <c r="BA304" s="273">
        <v>5869</v>
      </c>
      <c r="BB304" s="273">
        <v>0.5654142581888246</v>
      </c>
      <c r="BC304" s="273">
        <v>0</v>
      </c>
      <c r="BD304" s="273">
        <v>0</v>
      </c>
      <c r="BE304" s="273">
        <v>10730</v>
      </c>
      <c r="BF304" s="273">
        <v>10380</v>
      </c>
      <c r="BG304" s="273">
        <v>-0.032618825722273995</v>
      </c>
      <c r="BH304" s="273">
        <v>0</v>
      </c>
      <c r="BI304" s="273">
        <v>0</v>
      </c>
      <c r="BJ304" s="273">
        <v>0</v>
      </c>
      <c r="BK304" s="273">
        <v>2355799.7472376116</v>
      </c>
      <c r="BL304" s="273">
        <v>6915.3</v>
      </c>
    </row>
    <row r="305" spans="6:64" s="273" customFormat="1" ht="12.75">
      <c r="F305" s="273">
        <v>732</v>
      </c>
      <c r="G305" s="273" t="s">
        <v>240</v>
      </c>
      <c r="H305" s="273">
        <v>162</v>
      </c>
      <c r="I305" s="273">
        <v>30</v>
      </c>
      <c r="J305" s="273">
        <v>160</v>
      </c>
      <c r="K305" s="273">
        <v>125</v>
      </c>
      <c r="L305" s="273">
        <v>2682</v>
      </c>
      <c r="M305" s="273">
        <v>556</v>
      </c>
      <c r="N305" s="273">
        <v>505</v>
      </c>
      <c r="O305" s="273">
        <v>147</v>
      </c>
      <c r="P305" s="273">
        <v>4052</v>
      </c>
      <c r="Q305" s="273">
        <v>0</v>
      </c>
      <c r="R305" s="273">
        <v>4</v>
      </c>
      <c r="S305" s="273">
        <v>5729.33</v>
      </c>
      <c r="T305" s="273">
        <v>0.7072380191052008</v>
      </c>
      <c r="U305" s="273">
        <v>0</v>
      </c>
      <c r="V305" s="273">
        <v>0</v>
      </c>
      <c r="W305" s="273">
        <v>1282</v>
      </c>
      <c r="X305" s="273">
        <v>202</v>
      </c>
      <c r="Y305" s="273">
        <v>19</v>
      </c>
      <c r="Z305" s="273">
        <v>0.8694551123373371</v>
      </c>
      <c r="AA305" s="273">
        <v>1</v>
      </c>
      <c r="AB305" s="273">
        <v>2</v>
      </c>
      <c r="AC305" s="273">
        <v>0.3193233895540989</v>
      </c>
      <c r="AD305" s="273">
        <v>352</v>
      </c>
      <c r="AE305" s="273">
        <v>21</v>
      </c>
      <c r="AF305" s="273">
        <v>6</v>
      </c>
      <c r="AG305" s="273">
        <v>6</v>
      </c>
      <c r="AH305" s="273">
        <v>385</v>
      </c>
      <c r="AI305" s="273">
        <v>1.8892037110923476</v>
      </c>
      <c r="AJ305" s="273">
        <v>1704</v>
      </c>
      <c r="AK305" s="273">
        <v>352</v>
      </c>
      <c r="AL305" s="273">
        <v>2.1855934154622463</v>
      </c>
      <c r="AM305" s="273">
        <v>1.50126063032495</v>
      </c>
      <c r="AN305" s="273">
        <v>0.17</v>
      </c>
      <c r="AO305" s="273">
        <v>0</v>
      </c>
      <c r="AP305" s="273">
        <f t="shared" si="3"/>
        <v>0.17</v>
      </c>
      <c r="AQ305" s="273">
        <v>501435.70851542056</v>
      </c>
      <c r="AR305" s="273">
        <v>3067095.748169225</v>
      </c>
      <c r="AS305" s="273">
        <v>0</v>
      </c>
      <c r="AT305" s="273">
        <v>4052</v>
      </c>
      <c r="AU305" s="273">
        <v>0</v>
      </c>
      <c r="AV305" s="273">
        <v>0</v>
      </c>
      <c r="AW305" s="273">
        <v>0</v>
      </c>
      <c r="AX305" s="273">
        <v>1.6931666666666667</v>
      </c>
      <c r="AY305" s="273">
        <v>5729.33</v>
      </c>
      <c r="AZ305" s="273">
        <v>0.7072380191052008</v>
      </c>
      <c r="BA305" s="273">
        <v>1859</v>
      </c>
      <c r="BB305" s="273">
        <v>0.4587857847976308</v>
      </c>
      <c r="BC305" s="273">
        <v>0</v>
      </c>
      <c r="BD305" s="273">
        <v>0</v>
      </c>
      <c r="BE305" s="273">
        <v>4308</v>
      </c>
      <c r="BF305" s="273">
        <v>4052</v>
      </c>
      <c r="BG305" s="273">
        <v>-0.059424326833797586</v>
      </c>
      <c r="BH305" s="273">
        <v>0</v>
      </c>
      <c r="BI305" s="273">
        <v>3</v>
      </c>
      <c r="BJ305" s="273">
        <v>0.0007403751233958539</v>
      </c>
      <c r="BK305" s="273">
        <v>1119929.0361392396</v>
      </c>
      <c r="BL305" s="273">
        <v>8994.42</v>
      </c>
    </row>
    <row r="306" spans="6:64" s="273" customFormat="1" ht="12.75">
      <c r="F306" s="273">
        <v>734</v>
      </c>
      <c r="G306" s="273" t="s">
        <v>241</v>
      </c>
      <c r="H306" s="273">
        <v>4252</v>
      </c>
      <c r="I306" s="273">
        <v>604</v>
      </c>
      <c r="J306" s="273">
        <v>3746</v>
      </c>
      <c r="K306" s="273">
        <v>1922</v>
      </c>
      <c r="L306" s="273">
        <v>39870</v>
      </c>
      <c r="M306" s="273">
        <v>5953</v>
      </c>
      <c r="N306" s="273">
        <v>3795</v>
      </c>
      <c r="O306" s="273">
        <v>1413</v>
      </c>
      <c r="P306" s="273">
        <v>55283</v>
      </c>
      <c r="Q306" s="273">
        <v>80</v>
      </c>
      <c r="R306" s="273">
        <v>359</v>
      </c>
      <c r="S306" s="273">
        <v>1986.48</v>
      </c>
      <c r="T306" s="273">
        <v>27.829628287221617</v>
      </c>
      <c r="U306" s="273">
        <v>1</v>
      </c>
      <c r="V306" s="273">
        <v>0</v>
      </c>
      <c r="W306" s="273">
        <v>22903</v>
      </c>
      <c r="X306" s="273">
        <v>1207</v>
      </c>
      <c r="Y306" s="273">
        <v>246</v>
      </c>
      <c r="Z306" s="273">
        <v>0.983908540092361</v>
      </c>
      <c r="AA306" s="273">
        <v>88</v>
      </c>
      <c r="AB306" s="273">
        <v>88</v>
      </c>
      <c r="AC306" s="273">
        <v>1.0298198085635943</v>
      </c>
      <c r="AD306" s="273">
        <v>2486</v>
      </c>
      <c r="AE306" s="273">
        <v>442</v>
      </c>
      <c r="AF306" s="273">
        <v>106</v>
      </c>
      <c r="AG306" s="273">
        <v>29</v>
      </c>
      <c r="AH306" s="273">
        <v>3063</v>
      </c>
      <c r="AI306" s="273">
        <v>1.1016481043392259</v>
      </c>
      <c r="AJ306" s="273">
        <v>26250</v>
      </c>
      <c r="AK306" s="273">
        <v>2838</v>
      </c>
      <c r="AL306" s="273">
        <v>1.1438771481267835</v>
      </c>
      <c r="AM306" s="273">
        <v>0.960140289617131</v>
      </c>
      <c r="AN306" s="273">
        <v>0</v>
      </c>
      <c r="AO306" s="273">
        <v>0</v>
      </c>
      <c r="AP306" s="273">
        <f t="shared" si="3"/>
        <v>0</v>
      </c>
      <c r="AQ306" s="273">
        <v>825981.7808151245</v>
      </c>
      <c r="AR306" s="273">
        <v>-5632242.973243695</v>
      </c>
      <c r="AS306" s="273">
        <v>1</v>
      </c>
      <c r="AT306" s="273">
        <v>55283</v>
      </c>
      <c r="AU306" s="273">
        <v>1</v>
      </c>
      <c r="AV306" s="273">
        <v>683</v>
      </c>
      <c r="AW306" s="273">
        <v>0.012354611725123456</v>
      </c>
      <c r="AX306" s="273">
        <v>0</v>
      </c>
      <c r="AY306" s="273">
        <v>1986.48</v>
      </c>
      <c r="AZ306" s="273">
        <v>27.829628287221617</v>
      </c>
      <c r="BA306" s="273">
        <v>40849</v>
      </c>
      <c r="BB306" s="273">
        <v>0.7389070781252827</v>
      </c>
      <c r="BC306" s="273">
        <v>0</v>
      </c>
      <c r="BD306" s="273">
        <v>0</v>
      </c>
      <c r="BE306" s="273">
        <v>54777</v>
      </c>
      <c r="BF306" s="273">
        <v>55283</v>
      </c>
      <c r="BG306" s="273">
        <v>0.009237453675812841</v>
      </c>
      <c r="BH306" s="273">
        <v>0</v>
      </c>
      <c r="BI306" s="273">
        <v>0</v>
      </c>
      <c r="BJ306" s="273">
        <v>0</v>
      </c>
      <c r="BK306" s="273">
        <v>8287272.173423076</v>
      </c>
      <c r="BL306" s="273">
        <v>6182.76</v>
      </c>
    </row>
    <row r="307" spans="6:64" s="273" customFormat="1" ht="12.75">
      <c r="F307" s="273">
        <v>790</v>
      </c>
      <c r="G307" s="273" t="s">
        <v>242</v>
      </c>
      <c r="H307" s="273">
        <v>1807</v>
      </c>
      <c r="I307" s="273">
        <v>247</v>
      </c>
      <c r="J307" s="273">
        <v>1770</v>
      </c>
      <c r="K307" s="273">
        <v>890</v>
      </c>
      <c r="L307" s="273">
        <v>18085</v>
      </c>
      <c r="M307" s="273">
        <v>2970</v>
      </c>
      <c r="N307" s="273">
        <v>2080</v>
      </c>
      <c r="O307" s="273">
        <v>821</v>
      </c>
      <c r="P307" s="273">
        <v>25763</v>
      </c>
      <c r="Q307" s="273">
        <v>7</v>
      </c>
      <c r="R307" s="273">
        <v>44</v>
      </c>
      <c r="S307" s="273">
        <v>1429.25</v>
      </c>
      <c r="T307" s="273">
        <v>18.025537869511982</v>
      </c>
      <c r="U307" s="273">
        <v>0</v>
      </c>
      <c r="V307" s="273">
        <v>0</v>
      </c>
      <c r="W307" s="273">
        <v>10049</v>
      </c>
      <c r="X307" s="273">
        <v>815</v>
      </c>
      <c r="Y307" s="273">
        <v>158</v>
      </c>
      <c r="Z307" s="273">
        <v>0.9488366417047932</v>
      </c>
      <c r="AA307" s="273">
        <v>30</v>
      </c>
      <c r="AB307" s="273">
        <v>30</v>
      </c>
      <c r="AC307" s="273">
        <v>0.7533468779683319</v>
      </c>
      <c r="AD307" s="273">
        <v>1476</v>
      </c>
      <c r="AE307" s="273">
        <v>230</v>
      </c>
      <c r="AF307" s="273">
        <v>46</v>
      </c>
      <c r="AG307" s="273">
        <v>20</v>
      </c>
      <c r="AH307" s="273">
        <v>1772</v>
      </c>
      <c r="AI307" s="273">
        <v>1.3675864250077205</v>
      </c>
      <c r="AJ307" s="273">
        <v>11186</v>
      </c>
      <c r="AK307" s="273">
        <v>717</v>
      </c>
      <c r="AL307" s="273">
        <v>0.6781732279042182</v>
      </c>
      <c r="AM307" s="273">
        <v>1.1164865548867273</v>
      </c>
      <c r="AN307" s="273">
        <v>0</v>
      </c>
      <c r="AO307" s="273">
        <v>0</v>
      </c>
      <c r="AP307" s="273">
        <f t="shared" si="3"/>
        <v>0</v>
      </c>
      <c r="AQ307" s="273">
        <v>305236.4049048126</v>
      </c>
      <c r="AR307" s="273">
        <v>12434033.497137368</v>
      </c>
      <c r="AS307" s="273">
        <v>0</v>
      </c>
      <c r="AT307" s="273">
        <v>25763</v>
      </c>
      <c r="AU307" s="273">
        <v>0</v>
      </c>
      <c r="AV307" s="273">
        <v>0</v>
      </c>
      <c r="AW307" s="273">
        <v>0</v>
      </c>
      <c r="AX307" s="273">
        <v>0</v>
      </c>
      <c r="AY307" s="273">
        <v>1429.25</v>
      </c>
      <c r="AZ307" s="273">
        <v>18.025537869511982</v>
      </c>
      <c r="BA307" s="273">
        <v>17015</v>
      </c>
      <c r="BB307" s="273">
        <v>0.6604432713581493</v>
      </c>
      <c r="BC307" s="273">
        <v>0</v>
      </c>
      <c r="BD307" s="273">
        <v>0</v>
      </c>
      <c r="BE307" s="273">
        <v>25813</v>
      </c>
      <c r="BF307" s="273">
        <v>25763</v>
      </c>
      <c r="BG307" s="273">
        <v>-0.0019370084840971604</v>
      </c>
      <c r="BH307" s="273">
        <v>0</v>
      </c>
      <c r="BI307" s="273">
        <v>0</v>
      </c>
      <c r="BJ307" s="273">
        <v>0</v>
      </c>
      <c r="BK307" s="273">
        <v>4610060.291895155</v>
      </c>
      <c r="BL307" s="273">
        <v>6412.54</v>
      </c>
    </row>
    <row r="308" spans="6:64" s="273" customFormat="1" ht="12.75">
      <c r="F308" s="273">
        <v>738</v>
      </c>
      <c r="G308" s="273" t="s">
        <v>243</v>
      </c>
      <c r="H308" s="273">
        <v>232</v>
      </c>
      <c r="I308" s="273">
        <v>30</v>
      </c>
      <c r="J308" s="273">
        <v>218</v>
      </c>
      <c r="K308" s="273">
        <v>107</v>
      </c>
      <c r="L308" s="273">
        <v>2211</v>
      </c>
      <c r="M308" s="273">
        <v>325</v>
      </c>
      <c r="N308" s="273">
        <v>181</v>
      </c>
      <c r="O308" s="273">
        <v>94</v>
      </c>
      <c r="P308" s="273">
        <v>3043</v>
      </c>
      <c r="Q308" s="273">
        <v>12</v>
      </c>
      <c r="R308" s="273">
        <v>10</v>
      </c>
      <c r="S308" s="273">
        <v>252.49</v>
      </c>
      <c r="T308" s="273">
        <v>12.051962453958572</v>
      </c>
      <c r="U308" s="273">
        <v>0</v>
      </c>
      <c r="V308" s="273">
        <v>0</v>
      </c>
      <c r="W308" s="273">
        <v>1356</v>
      </c>
      <c r="X308" s="273">
        <v>173</v>
      </c>
      <c r="Y308" s="273">
        <v>33</v>
      </c>
      <c r="Z308" s="273">
        <v>0.8909594889602507</v>
      </c>
      <c r="AA308" s="273">
        <v>1</v>
      </c>
      <c r="AB308" s="273">
        <v>2</v>
      </c>
      <c r="AC308" s="273">
        <v>0.42520485523273377</v>
      </c>
      <c r="AD308" s="273">
        <v>162</v>
      </c>
      <c r="AE308" s="273">
        <v>23</v>
      </c>
      <c r="AF308" s="273">
        <v>7</v>
      </c>
      <c r="AG308" s="273">
        <v>6</v>
      </c>
      <c r="AH308" s="273">
        <v>198</v>
      </c>
      <c r="AI308" s="273">
        <v>1.2937511090768645</v>
      </c>
      <c r="AJ308" s="273">
        <v>1434</v>
      </c>
      <c r="AK308" s="273">
        <v>72</v>
      </c>
      <c r="AL308" s="273">
        <v>0.5312263950096521</v>
      </c>
      <c r="AM308" s="273">
        <v>0.840015619098468</v>
      </c>
      <c r="AN308" s="273">
        <v>0</v>
      </c>
      <c r="AO308" s="273">
        <v>0</v>
      </c>
      <c r="AP308" s="273">
        <f t="shared" si="3"/>
        <v>0</v>
      </c>
      <c r="AQ308" s="273">
        <v>-25972.495480962098</v>
      </c>
      <c r="AR308" s="273">
        <v>1175694.8882769214</v>
      </c>
      <c r="AS308" s="273">
        <v>0</v>
      </c>
      <c r="AT308" s="273">
        <v>3043</v>
      </c>
      <c r="AU308" s="273">
        <v>0</v>
      </c>
      <c r="AV308" s="273">
        <v>0</v>
      </c>
      <c r="AW308" s="273">
        <v>0</v>
      </c>
      <c r="AX308" s="273">
        <v>0</v>
      </c>
      <c r="AY308" s="273">
        <v>252.49</v>
      </c>
      <c r="AZ308" s="273">
        <v>12.051962453958572</v>
      </c>
      <c r="BA308" s="273">
        <v>1236</v>
      </c>
      <c r="BB308" s="273">
        <v>0.406178113703582</v>
      </c>
      <c r="BC308" s="273">
        <v>0</v>
      </c>
      <c r="BD308" s="273">
        <v>0</v>
      </c>
      <c r="BE308" s="273">
        <v>3027</v>
      </c>
      <c r="BF308" s="273">
        <v>3043</v>
      </c>
      <c r="BG308" s="273">
        <v>0.005285761480013214</v>
      </c>
      <c r="BH308" s="273">
        <v>0</v>
      </c>
      <c r="BI308" s="273">
        <v>0</v>
      </c>
      <c r="BJ308" s="273">
        <v>0</v>
      </c>
      <c r="BK308" s="273">
        <v>471590.3582330834</v>
      </c>
      <c r="BL308" s="273">
        <v>6729.53</v>
      </c>
    </row>
    <row r="309" spans="6:64" s="273" customFormat="1" ht="12.75">
      <c r="F309" s="273">
        <v>739</v>
      </c>
      <c r="G309" s="273" t="s">
        <v>244</v>
      </c>
      <c r="H309" s="273">
        <v>176</v>
      </c>
      <c r="I309" s="273">
        <v>21</v>
      </c>
      <c r="J309" s="273">
        <v>200</v>
      </c>
      <c r="K309" s="273">
        <v>110</v>
      </c>
      <c r="L309" s="273">
        <v>2422</v>
      </c>
      <c r="M309" s="273">
        <v>552</v>
      </c>
      <c r="N309" s="273">
        <v>474</v>
      </c>
      <c r="O309" s="273">
        <v>165</v>
      </c>
      <c r="P309" s="273">
        <v>3789</v>
      </c>
      <c r="Q309" s="273">
        <v>0</v>
      </c>
      <c r="R309" s="273">
        <v>5</v>
      </c>
      <c r="S309" s="273">
        <v>539.74</v>
      </c>
      <c r="T309" s="273">
        <v>7.020046689146626</v>
      </c>
      <c r="U309" s="273">
        <v>0</v>
      </c>
      <c r="V309" s="273">
        <v>0</v>
      </c>
      <c r="W309" s="273">
        <v>1417</v>
      </c>
      <c r="X309" s="273">
        <v>211</v>
      </c>
      <c r="Y309" s="273">
        <v>21</v>
      </c>
      <c r="Z309" s="273">
        <v>0.8785536893195474</v>
      </c>
      <c r="AA309" s="273">
        <v>5</v>
      </c>
      <c r="AB309" s="273">
        <v>5</v>
      </c>
      <c r="AC309" s="273">
        <v>0.8537202259654321</v>
      </c>
      <c r="AD309" s="273">
        <v>263</v>
      </c>
      <c r="AE309" s="273">
        <v>16</v>
      </c>
      <c r="AF309" s="273">
        <v>4</v>
      </c>
      <c r="AG309" s="273">
        <v>0</v>
      </c>
      <c r="AH309" s="273">
        <v>283</v>
      </c>
      <c r="AI309" s="273">
        <v>1.4850782153184183</v>
      </c>
      <c r="AJ309" s="273">
        <v>1650</v>
      </c>
      <c r="AK309" s="273">
        <v>189</v>
      </c>
      <c r="AL309" s="273">
        <v>1.2119205802515653</v>
      </c>
      <c r="AM309" s="273">
        <v>0.853274751686036</v>
      </c>
      <c r="AN309" s="273">
        <v>0</v>
      </c>
      <c r="AO309" s="273">
        <v>0</v>
      </c>
      <c r="AP309" s="273">
        <f t="shared" si="3"/>
        <v>0</v>
      </c>
      <c r="AQ309" s="273">
        <v>17385.44724056311</v>
      </c>
      <c r="AR309" s="273">
        <v>2103321.630535</v>
      </c>
      <c r="AS309" s="273">
        <v>1</v>
      </c>
      <c r="AT309" s="273">
        <v>3789</v>
      </c>
      <c r="AU309" s="273">
        <v>0</v>
      </c>
      <c r="AV309" s="273">
        <v>0</v>
      </c>
      <c r="AW309" s="273">
        <v>0</v>
      </c>
      <c r="AX309" s="273">
        <v>0.1582</v>
      </c>
      <c r="AY309" s="273">
        <v>539.74</v>
      </c>
      <c r="AZ309" s="273">
        <v>7.020046689146626</v>
      </c>
      <c r="BA309" s="273">
        <v>1938</v>
      </c>
      <c r="BB309" s="273">
        <v>0.5114806017418844</v>
      </c>
      <c r="BC309" s="273">
        <v>0</v>
      </c>
      <c r="BD309" s="273">
        <v>0</v>
      </c>
      <c r="BE309" s="273">
        <v>4023</v>
      </c>
      <c r="BF309" s="273">
        <v>3789</v>
      </c>
      <c r="BG309" s="273">
        <v>-0.058165548098434</v>
      </c>
      <c r="BH309" s="273">
        <v>0</v>
      </c>
      <c r="BI309" s="273">
        <v>0</v>
      </c>
      <c r="BJ309" s="273">
        <v>0</v>
      </c>
      <c r="BK309" s="273">
        <v>928269.9069833958</v>
      </c>
      <c r="BL309" s="273">
        <v>7046.56</v>
      </c>
    </row>
    <row r="310" spans="6:64" s="273" customFormat="1" ht="12.75">
      <c r="F310" s="273">
        <v>740</v>
      </c>
      <c r="G310" s="273" t="s">
        <v>245</v>
      </c>
      <c r="H310" s="273">
        <v>2188</v>
      </c>
      <c r="I310" s="273">
        <v>313</v>
      </c>
      <c r="J310" s="273">
        <v>2060</v>
      </c>
      <c r="K310" s="273">
        <v>1114</v>
      </c>
      <c r="L310" s="273">
        <v>25723</v>
      </c>
      <c r="M310" s="273">
        <v>4716</v>
      </c>
      <c r="N310" s="273">
        <v>3098</v>
      </c>
      <c r="O310" s="273">
        <v>1129</v>
      </c>
      <c r="P310" s="273">
        <v>36854</v>
      </c>
      <c r="Q310" s="273">
        <v>1</v>
      </c>
      <c r="R310" s="273">
        <v>101</v>
      </c>
      <c r="S310" s="273">
        <v>2239.42</v>
      </c>
      <c r="T310" s="273">
        <v>16.456939743326398</v>
      </c>
      <c r="U310" s="273">
        <v>1</v>
      </c>
      <c r="V310" s="273">
        <v>0</v>
      </c>
      <c r="W310" s="273">
        <v>13794</v>
      </c>
      <c r="X310" s="273">
        <v>847</v>
      </c>
      <c r="Y310" s="273">
        <v>232</v>
      </c>
      <c r="Z310" s="273">
        <v>0.96838030821767</v>
      </c>
      <c r="AA310" s="273">
        <v>55</v>
      </c>
      <c r="AB310" s="273">
        <v>55</v>
      </c>
      <c r="AC310" s="273">
        <v>0.9654909995662138</v>
      </c>
      <c r="AD310" s="273">
        <v>1936</v>
      </c>
      <c r="AE310" s="273">
        <v>146</v>
      </c>
      <c r="AF310" s="273">
        <v>62</v>
      </c>
      <c r="AG310" s="273">
        <v>18</v>
      </c>
      <c r="AH310" s="273">
        <v>2162</v>
      </c>
      <c r="AI310" s="273">
        <v>1.166429662539404</v>
      </c>
      <c r="AJ310" s="273">
        <v>16520</v>
      </c>
      <c r="AK310" s="273">
        <v>2159</v>
      </c>
      <c r="AL310" s="273">
        <v>1.3827348216877295</v>
      </c>
      <c r="AM310" s="273">
        <v>1.101529789297967</v>
      </c>
      <c r="AN310" s="273">
        <v>0</v>
      </c>
      <c r="AO310" s="273">
        <v>0</v>
      </c>
      <c r="AP310" s="273">
        <f t="shared" si="3"/>
        <v>0</v>
      </c>
      <c r="AQ310" s="273">
        <v>224198.56074189395</v>
      </c>
      <c r="AR310" s="273">
        <v>11701674.786209857</v>
      </c>
      <c r="AS310" s="273">
        <v>1</v>
      </c>
      <c r="AT310" s="273">
        <v>36854</v>
      </c>
      <c r="AU310" s="273">
        <v>1</v>
      </c>
      <c r="AV310" s="273">
        <v>1226</v>
      </c>
      <c r="AW310" s="273">
        <v>0.03326640256145873</v>
      </c>
      <c r="AX310" s="273">
        <v>0.10373333333333333</v>
      </c>
      <c r="AY310" s="273">
        <v>2239.42</v>
      </c>
      <c r="AZ310" s="273">
        <v>16.456939743326398</v>
      </c>
      <c r="BA310" s="273">
        <v>27780</v>
      </c>
      <c r="BB310" s="273">
        <v>0.753785206490476</v>
      </c>
      <c r="BC310" s="273">
        <v>0</v>
      </c>
      <c r="BD310" s="273">
        <v>0</v>
      </c>
      <c r="BE310" s="273">
        <v>37410</v>
      </c>
      <c r="BF310" s="273">
        <v>36854</v>
      </c>
      <c r="BG310" s="273">
        <v>-0.014862336273723603</v>
      </c>
      <c r="BH310" s="273">
        <v>0</v>
      </c>
      <c r="BI310" s="273">
        <v>0</v>
      </c>
      <c r="BJ310" s="273">
        <v>0</v>
      </c>
      <c r="BK310" s="273">
        <v>7184860.27092853</v>
      </c>
      <c r="BL310" s="273">
        <v>6490.68</v>
      </c>
    </row>
    <row r="311" spans="6:64" s="273" customFormat="1" ht="12.75">
      <c r="F311" s="273">
        <v>742</v>
      </c>
      <c r="G311" s="273" t="s">
        <v>246</v>
      </c>
      <c r="H311" s="273">
        <v>51</v>
      </c>
      <c r="I311" s="273">
        <v>9</v>
      </c>
      <c r="J311" s="273">
        <v>62</v>
      </c>
      <c r="K311" s="273">
        <v>30</v>
      </c>
      <c r="L311" s="273">
        <v>810</v>
      </c>
      <c r="M311" s="273">
        <v>161</v>
      </c>
      <c r="N311" s="273">
        <v>101</v>
      </c>
      <c r="O311" s="273">
        <v>33</v>
      </c>
      <c r="P311" s="273">
        <v>1156</v>
      </c>
      <c r="Q311" s="273">
        <v>0</v>
      </c>
      <c r="R311" s="273">
        <v>0</v>
      </c>
      <c r="S311" s="273">
        <v>6438.26</v>
      </c>
      <c r="T311" s="273">
        <v>0.17955161798374095</v>
      </c>
      <c r="U311" s="273">
        <v>0</v>
      </c>
      <c r="V311" s="273">
        <v>0</v>
      </c>
      <c r="W311" s="273">
        <v>427</v>
      </c>
      <c r="X311" s="273">
        <v>129</v>
      </c>
      <c r="Y311" s="273">
        <v>4</v>
      </c>
      <c r="Z311" s="273">
        <v>0.7233346374235808</v>
      </c>
      <c r="AA311" s="273">
        <v>0</v>
      </c>
      <c r="AB311" s="273">
        <v>2</v>
      </c>
      <c r="AC311" s="273">
        <v>1.1192892512744022</v>
      </c>
      <c r="AD311" s="273">
        <v>74</v>
      </c>
      <c r="AE311" s="273">
        <v>1</v>
      </c>
      <c r="AF311" s="273">
        <v>2</v>
      </c>
      <c r="AG311" s="273">
        <v>2</v>
      </c>
      <c r="AH311" s="273">
        <v>79</v>
      </c>
      <c r="AI311" s="273">
        <v>1.3588038052180589</v>
      </c>
      <c r="AJ311" s="273">
        <v>538</v>
      </c>
      <c r="AK311" s="273">
        <v>90</v>
      </c>
      <c r="AL311" s="273">
        <v>1.7699318086520472</v>
      </c>
      <c r="AM311" s="273">
        <v>1.09799689089449</v>
      </c>
      <c r="AN311" s="273">
        <v>0.17</v>
      </c>
      <c r="AO311" s="273">
        <v>0</v>
      </c>
      <c r="AP311" s="273">
        <f t="shared" si="3"/>
        <v>0.17</v>
      </c>
      <c r="AQ311" s="273">
        <v>106604.61965460237</v>
      </c>
      <c r="AR311" s="273">
        <v>75512.41146666647</v>
      </c>
      <c r="AS311" s="273">
        <v>1</v>
      </c>
      <c r="AT311" s="273">
        <v>1156</v>
      </c>
      <c r="AU311" s="273">
        <v>0</v>
      </c>
      <c r="AV311" s="273">
        <v>0</v>
      </c>
      <c r="AW311" s="273">
        <v>0</v>
      </c>
      <c r="AX311" s="273">
        <v>1.8854833333333332</v>
      </c>
      <c r="AY311" s="273">
        <v>6438.26</v>
      </c>
      <c r="AZ311" s="273">
        <v>0.17955161798374095</v>
      </c>
      <c r="BA311" s="273">
        <v>465</v>
      </c>
      <c r="BB311" s="273">
        <v>0.4022491349480969</v>
      </c>
      <c r="BC311" s="273">
        <v>0</v>
      </c>
      <c r="BD311" s="273">
        <v>0</v>
      </c>
      <c r="BE311" s="273">
        <v>1216</v>
      </c>
      <c r="BF311" s="273">
        <v>1156</v>
      </c>
      <c r="BG311" s="273">
        <v>-0.049342105263157895</v>
      </c>
      <c r="BH311" s="273">
        <v>0</v>
      </c>
      <c r="BI311" s="273">
        <v>1</v>
      </c>
      <c r="BJ311" s="273">
        <v>0.0008650519031141869</v>
      </c>
      <c r="BK311" s="273">
        <v>353803.8627913896</v>
      </c>
      <c r="BL311" s="273">
        <v>10152.34</v>
      </c>
    </row>
    <row r="312" spans="6:64" s="273" customFormat="1" ht="12.75">
      <c r="F312" s="273">
        <v>743</v>
      </c>
      <c r="G312" s="273" t="s">
        <v>247</v>
      </c>
      <c r="H312" s="273">
        <v>5221</v>
      </c>
      <c r="I312" s="273">
        <v>719</v>
      </c>
      <c r="J312" s="273">
        <v>4170</v>
      </c>
      <c r="K312" s="273">
        <v>1974</v>
      </c>
      <c r="L312" s="273">
        <v>44056</v>
      </c>
      <c r="M312" s="273">
        <v>5190</v>
      </c>
      <c r="N312" s="273">
        <v>3065</v>
      </c>
      <c r="O312" s="273">
        <v>1171</v>
      </c>
      <c r="P312" s="273">
        <v>58703</v>
      </c>
      <c r="Q312" s="273">
        <v>8</v>
      </c>
      <c r="R312" s="273">
        <v>94</v>
      </c>
      <c r="S312" s="273">
        <v>1431.64</v>
      </c>
      <c r="T312" s="273">
        <v>41.004023357827386</v>
      </c>
      <c r="U312" s="273">
        <v>0</v>
      </c>
      <c r="V312" s="273">
        <v>0</v>
      </c>
      <c r="W312" s="273">
        <v>25367</v>
      </c>
      <c r="X312" s="273">
        <v>891</v>
      </c>
      <c r="Y312" s="273">
        <v>257</v>
      </c>
      <c r="Z312" s="273">
        <v>1.003013792393815</v>
      </c>
      <c r="AA312" s="273">
        <v>61</v>
      </c>
      <c r="AB312" s="273">
        <v>61</v>
      </c>
      <c r="AC312" s="273">
        <v>0.6722637756406465</v>
      </c>
      <c r="AD312" s="273">
        <v>2508</v>
      </c>
      <c r="AE312" s="273">
        <v>464</v>
      </c>
      <c r="AF312" s="273">
        <v>173</v>
      </c>
      <c r="AG312" s="273">
        <v>32</v>
      </c>
      <c r="AH312" s="273">
        <v>3177</v>
      </c>
      <c r="AI312" s="273">
        <v>1.0760796432868363</v>
      </c>
      <c r="AJ312" s="273">
        <v>28397</v>
      </c>
      <c r="AK312" s="273">
        <v>2318</v>
      </c>
      <c r="AL312" s="273">
        <v>0.8636489925230871</v>
      </c>
      <c r="AM312" s="273">
        <v>0.985038315743387</v>
      </c>
      <c r="AN312" s="273">
        <v>0</v>
      </c>
      <c r="AO312" s="273">
        <v>0</v>
      </c>
      <c r="AP312" s="273">
        <f t="shared" si="3"/>
        <v>0</v>
      </c>
      <c r="AQ312" s="273">
        <v>89519.31668151915</v>
      </c>
      <c r="AR312" s="273">
        <v>-2669981.9626179757</v>
      </c>
      <c r="AS312" s="273">
        <v>1</v>
      </c>
      <c r="AT312" s="273">
        <v>58703</v>
      </c>
      <c r="AU312" s="273">
        <v>0</v>
      </c>
      <c r="AV312" s="273">
        <v>0</v>
      </c>
      <c r="AW312" s="273">
        <v>0</v>
      </c>
      <c r="AX312" s="273">
        <v>0</v>
      </c>
      <c r="AY312" s="273">
        <v>1431.64</v>
      </c>
      <c r="AZ312" s="273">
        <v>41.004023357827386</v>
      </c>
      <c r="BA312" s="273">
        <v>51998</v>
      </c>
      <c r="BB312" s="273">
        <v>0.8857809651976901</v>
      </c>
      <c r="BC312" s="273">
        <v>0</v>
      </c>
      <c r="BD312" s="273">
        <v>0</v>
      </c>
      <c r="BE312" s="273">
        <v>56211</v>
      </c>
      <c r="BF312" s="273">
        <v>58703</v>
      </c>
      <c r="BG312" s="273">
        <v>0.044332959740975966</v>
      </c>
      <c r="BH312" s="273">
        <v>0</v>
      </c>
      <c r="BI312" s="273">
        <v>4</v>
      </c>
      <c r="BJ312" s="273">
        <v>6.813961807744067E-05</v>
      </c>
      <c r="BK312" s="273">
        <v>9169882.063549576</v>
      </c>
      <c r="BL312" s="273">
        <v>5864.51</v>
      </c>
    </row>
    <row r="313" spans="6:64" s="273" customFormat="1" ht="12.75">
      <c r="F313" s="273">
        <v>746</v>
      </c>
      <c r="G313" s="273" t="s">
        <v>248</v>
      </c>
      <c r="H313" s="273">
        <v>691</v>
      </c>
      <c r="I313" s="273">
        <v>96</v>
      </c>
      <c r="J313" s="273">
        <v>553</v>
      </c>
      <c r="K313" s="273">
        <v>290</v>
      </c>
      <c r="L313" s="273">
        <v>3793</v>
      </c>
      <c r="M313" s="273">
        <v>397</v>
      </c>
      <c r="N313" s="273">
        <v>298</v>
      </c>
      <c r="O313" s="273">
        <v>106</v>
      </c>
      <c r="P313" s="273">
        <v>5285</v>
      </c>
      <c r="Q313" s="273">
        <v>1</v>
      </c>
      <c r="R313" s="273">
        <v>10</v>
      </c>
      <c r="S313" s="273">
        <v>787.32</v>
      </c>
      <c r="T313" s="273">
        <v>6.712645430066554</v>
      </c>
      <c r="U313" s="273">
        <v>0</v>
      </c>
      <c r="V313" s="273">
        <v>0</v>
      </c>
      <c r="W313" s="273">
        <v>1836</v>
      </c>
      <c r="X313" s="273">
        <v>309</v>
      </c>
      <c r="Y313" s="273">
        <v>20</v>
      </c>
      <c r="Z313" s="273">
        <v>0.8623039632539361</v>
      </c>
      <c r="AA313" s="273">
        <v>9</v>
      </c>
      <c r="AB313" s="273">
        <v>9</v>
      </c>
      <c r="AC313" s="273">
        <v>1.1017110094852298</v>
      </c>
      <c r="AD313" s="273">
        <v>280</v>
      </c>
      <c r="AE313" s="273">
        <v>50</v>
      </c>
      <c r="AF313" s="273">
        <v>14</v>
      </c>
      <c r="AG313" s="273">
        <v>3</v>
      </c>
      <c r="AH313" s="273">
        <v>347</v>
      </c>
      <c r="AI313" s="273">
        <v>1.3054852831508577</v>
      </c>
      <c r="AJ313" s="273">
        <v>2065</v>
      </c>
      <c r="AK313" s="273">
        <v>147</v>
      </c>
      <c r="AL313" s="273">
        <v>0.753170982077244</v>
      </c>
      <c r="AM313" s="273">
        <v>1.48016063979041</v>
      </c>
      <c r="AN313" s="273">
        <v>0</v>
      </c>
      <c r="AO313" s="273">
        <v>0</v>
      </c>
      <c r="AP313" s="273">
        <f t="shared" si="3"/>
        <v>0</v>
      </c>
      <c r="AQ313" s="273">
        <v>-93567.0326451771</v>
      </c>
      <c r="AR313" s="273">
        <v>3994859.834428572</v>
      </c>
      <c r="AS313" s="273">
        <v>1</v>
      </c>
      <c r="AT313" s="273">
        <v>5285</v>
      </c>
      <c r="AU313" s="273">
        <v>0</v>
      </c>
      <c r="AV313" s="273">
        <v>0</v>
      </c>
      <c r="AW313" s="273">
        <v>0</v>
      </c>
      <c r="AX313" s="273">
        <v>0</v>
      </c>
      <c r="AY313" s="273">
        <v>787.32</v>
      </c>
      <c r="AZ313" s="273">
        <v>6.712645430066554</v>
      </c>
      <c r="BA313" s="273">
        <v>2718</v>
      </c>
      <c r="BB313" s="273">
        <v>0.5142857142857142</v>
      </c>
      <c r="BC313" s="273">
        <v>0</v>
      </c>
      <c r="BD313" s="273">
        <v>0</v>
      </c>
      <c r="BE313" s="273">
        <v>5307</v>
      </c>
      <c r="BF313" s="273">
        <v>5285</v>
      </c>
      <c r="BG313" s="273">
        <v>-0.0041454682494818165</v>
      </c>
      <c r="BH313" s="273">
        <v>0</v>
      </c>
      <c r="BI313" s="273">
        <v>1</v>
      </c>
      <c r="BJ313" s="273">
        <v>0.0001892147587511826</v>
      </c>
      <c r="BK313" s="273">
        <v>860054.6478592085</v>
      </c>
      <c r="BL313" s="273">
        <v>7074.07</v>
      </c>
    </row>
    <row r="314" spans="6:64" s="273" customFormat="1" ht="12.75">
      <c r="F314" s="273">
        <v>747</v>
      </c>
      <c r="G314" s="273" t="s">
        <v>249</v>
      </c>
      <c r="H314" s="273">
        <v>79</v>
      </c>
      <c r="I314" s="273">
        <v>17</v>
      </c>
      <c r="J314" s="273">
        <v>109</v>
      </c>
      <c r="K314" s="273">
        <v>62</v>
      </c>
      <c r="L314" s="273">
        <v>1103</v>
      </c>
      <c r="M314" s="273">
        <v>239</v>
      </c>
      <c r="N314" s="273">
        <v>177</v>
      </c>
      <c r="O314" s="273">
        <v>63</v>
      </c>
      <c r="P314" s="273">
        <v>1661</v>
      </c>
      <c r="Q314" s="273">
        <v>0</v>
      </c>
      <c r="R314" s="273">
        <v>2</v>
      </c>
      <c r="S314" s="273">
        <v>463.19</v>
      </c>
      <c r="T314" s="273">
        <v>3.5860014249012284</v>
      </c>
      <c r="U314" s="273">
        <v>0</v>
      </c>
      <c r="V314" s="273">
        <v>0</v>
      </c>
      <c r="W314" s="273">
        <v>549</v>
      </c>
      <c r="X314" s="273">
        <v>121</v>
      </c>
      <c r="Y314" s="273">
        <v>5</v>
      </c>
      <c r="Z314" s="273">
        <v>0.809445903783531</v>
      </c>
      <c r="AA314" s="273">
        <v>0</v>
      </c>
      <c r="AB314" s="273">
        <v>2</v>
      </c>
      <c r="AC314" s="273">
        <v>0.778987582464304</v>
      </c>
      <c r="AD314" s="273">
        <v>123</v>
      </c>
      <c r="AE314" s="273">
        <v>10</v>
      </c>
      <c r="AF314" s="273">
        <v>1</v>
      </c>
      <c r="AG314" s="273">
        <v>0</v>
      </c>
      <c r="AH314" s="273">
        <v>134</v>
      </c>
      <c r="AI314" s="273">
        <v>1.6040675865804355</v>
      </c>
      <c r="AJ314" s="273">
        <v>671</v>
      </c>
      <c r="AK314" s="273">
        <v>94</v>
      </c>
      <c r="AL314" s="273">
        <v>1.4821823385850526</v>
      </c>
      <c r="AM314" s="273">
        <v>1.1932591755086</v>
      </c>
      <c r="AN314" s="273">
        <v>0</v>
      </c>
      <c r="AO314" s="273">
        <v>0</v>
      </c>
      <c r="AP314" s="273">
        <f t="shared" si="3"/>
        <v>0</v>
      </c>
      <c r="AQ314" s="273">
        <v>109608.27899000607</v>
      </c>
      <c r="AR314" s="273">
        <v>1521531.1834349998</v>
      </c>
      <c r="AS314" s="273">
        <v>1</v>
      </c>
      <c r="AT314" s="273">
        <v>1661</v>
      </c>
      <c r="AU314" s="273">
        <v>0</v>
      </c>
      <c r="AV314" s="273">
        <v>0</v>
      </c>
      <c r="AW314" s="273">
        <v>0</v>
      </c>
      <c r="AX314" s="273">
        <v>0.24446666666666667</v>
      </c>
      <c r="AY314" s="273">
        <v>463.19</v>
      </c>
      <c r="AZ314" s="273">
        <v>3.5860014249012284</v>
      </c>
      <c r="BA314" s="273">
        <v>509</v>
      </c>
      <c r="BB314" s="273">
        <v>0.30644190246839254</v>
      </c>
      <c r="BC314" s="273">
        <v>0</v>
      </c>
      <c r="BD314" s="273">
        <v>0</v>
      </c>
      <c r="BE314" s="273">
        <v>1677</v>
      </c>
      <c r="BF314" s="273">
        <v>1661</v>
      </c>
      <c r="BG314" s="273">
        <v>-0.009540846750149075</v>
      </c>
      <c r="BH314" s="273">
        <v>0</v>
      </c>
      <c r="BI314" s="273">
        <v>0</v>
      </c>
      <c r="BJ314" s="273">
        <v>0</v>
      </c>
      <c r="BK314" s="273">
        <v>456451.83744007186</v>
      </c>
      <c r="BL314" s="273">
        <v>7606.05</v>
      </c>
    </row>
    <row r="315" spans="6:64" s="273" customFormat="1" ht="12.75">
      <c r="F315" s="273">
        <v>748</v>
      </c>
      <c r="G315" s="273" t="s">
        <v>250</v>
      </c>
      <c r="H315" s="273">
        <v>581</v>
      </c>
      <c r="I315" s="273">
        <v>85</v>
      </c>
      <c r="J315" s="273">
        <v>511</v>
      </c>
      <c r="K315" s="273">
        <v>243</v>
      </c>
      <c r="L315" s="273">
        <v>4103</v>
      </c>
      <c r="M315" s="273">
        <v>480</v>
      </c>
      <c r="N315" s="273">
        <v>333</v>
      </c>
      <c r="O315" s="273">
        <v>142</v>
      </c>
      <c r="P315" s="273">
        <v>5639</v>
      </c>
      <c r="Q315" s="273">
        <v>0</v>
      </c>
      <c r="R315" s="273">
        <v>18</v>
      </c>
      <c r="S315" s="273">
        <v>1052.02</v>
      </c>
      <c r="T315" s="273">
        <v>5.360164255432406</v>
      </c>
      <c r="U315" s="273">
        <v>0</v>
      </c>
      <c r="V315" s="273">
        <v>0</v>
      </c>
      <c r="W315" s="273">
        <v>2050</v>
      </c>
      <c r="X315" s="273">
        <v>381</v>
      </c>
      <c r="Y315" s="273">
        <v>23</v>
      </c>
      <c r="Z315" s="273">
        <v>0.8435207619646</v>
      </c>
      <c r="AA315" s="273">
        <v>8</v>
      </c>
      <c r="AB315" s="273">
        <v>8</v>
      </c>
      <c r="AC315" s="273">
        <v>0.9178211558596977</v>
      </c>
      <c r="AD315" s="273">
        <v>360</v>
      </c>
      <c r="AE315" s="273">
        <v>51</v>
      </c>
      <c r="AF315" s="273">
        <v>13</v>
      </c>
      <c r="AG315" s="273">
        <v>3</v>
      </c>
      <c r="AH315" s="273">
        <v>427</v>
      </c>
      <c r="AI315" s="273">
        <v>1.5056127284918914</v>
      </c>
      <c r="AJ315" s="273">
        <v>2355</v>
      </c>
      <c r="AK315" s="273">
        <v>211</v>
      </c>
      <c r="AL315" s="273">
        <v>0.9479552680092619</v>
      </c>
      <c r="AM315" s="273">
        <v>1.64352742197434</v>
      </c>
      <c r="AN315" s="273">
        <v>0</v>
      </c>
      <c r="AO315" s="273">
        <v>0</v>
      </c>
      <c r="AP315" s="273">
        <f t="shared" si="3"/>
        <v>0</v>
      </c>
      <c r="AQ315" s="273">
        <v>-83113.75313581899</v>
      </c>
      <c r="AR315" s="273">
        <v>3939791.7808299977</v>
      </c>
      <c r="AS315" s="273">
        <v>1</v>
      </c>
      <c r="AT315" s="273">
        <v>5639</v>
      </c>
      <c r="AU315" s="273">
        <v>0</v>
      </c>
      <c r="AV315" s="273">
        <v>0</v>
      </c>
      <c r="AW315" s="273">
        <v>0</v>
      </c>
      <c r="AX315" s="273">
        <v>0</v>
      </c>
      <c r="AY315" s="273">
        <v>1052.02</v>
      </c>
      <c r="AZ315" s="273">
        <v>5.360164255432406</v>
      </c>
      <c r="BA315" s="273">
        <v>2656</v>
      </c>
      <c r="BB315" s="273">
        <v>0.4710054974286221</v>
      </c>
      <c r="BC315" s="273">
        <v>0</v>
      </c>
      <c r="BD315" s="273">
        <v>0</v>
      </c>
      <c r="BE315" s="273">
        <v>5759</v>
      </c>
      <c r="BF315" s="273">
        <v>5639</v>
      </c>
      <c r="BG315" s="273">
        <v>-0.020836950859524223</v>
      </c>
      <c r="BH315" s="273">
        <v>0</v>
      </c>
      <c r="BI315" s="273">
        <v>0</v>
      </c>
      <c r="BJ315" s="273">
        <v>0</v>
      </c>
      <c r="BK315" s="273">
        <v>1081887.8900096286</v>
      </c>
      <c r="BL315" s="273">
        <v>7245.71</v>
      </c>
    </row>
    <row r="316" spans="6:64" s="273" customFormat="1" ht="12.75">
      <c r="F316" s="273">
        <v>791</v>
      </c>
      <c r="G316" s="273" t="s">
        <v>251</v>
      </c>
      <c r="H316" s="273">
        <v>440</v>
      </c>
      <c r="I316" s="273">
        <v>59</v>
      </c>
      <c r="J316" s="273">
        <v>417</v>
      </c>
      <c r="K316" s="273">
        <v>211</v>
      </c>
      <c r="L316" s="273">
        <v>4124</v>
      </c>
      <c r="M316" s="273">
        <v>766</v>
      </c>
      <c r="N316" s="273">
        <v>536</v>
      </c>
      <c r="O316" s="273">
        <v>195</v>
      </c>
      <c r="P316" s="273">
        <v>6061</v>
      </c>
      <c r="Q316" s="273">
        <v>0</v>
      </c>
      <c r="R316" s="273">
        <v>3</v>
      </c>
      <c r="S316" s="273">
        <v>2171.85</v>
      </c>
      <c r="T316" s="273">
        <v>2.79070838225476</v>
      </c>
      <c r="U316" s="273">
        <v>0</v>
      </c>
      <c r="V316" s="273">
        <v>0</v>
      </c>
      <c r="W316" s="273">
        <v>2255</v>
      </c>
      <c r="X316" s="273">
        <v>564</v>
      </c>
      <c r="Y316" s="273">
        <v>30</v>
      </c>
      <c r="Z316" s="273">
        <v>0.7738252433575613</v>
      </c>
      <c r="AA316" s="273">
        <v>10</v>
      </c>
      <c r="AB316" s="273">
        <v>10</v>
      </c>
      <c r="AC316" s="273">
        <v>1.0673967781498175</v>
      </c>
      <c r="AD316" s="273">
        <v>493</v>
      </c>
      <c r="AE316" s="273">
        <v>36</v>
      </c>
      <c r="AF316" s="273">
        <v>13</v>
      </c>
      <c r="AG316" s="273">
        <v>3</v>
      </c>
      <c r="AH316" s="273">
        <v>545</v>
      </c>
      <c r="AI316" s="273">
        <v>1.7878855545905266</v>
      </c>
      <c r="AJ316" s="273">
        <v>2582</v>
      </c>
      <c r="AK316" s="273">
        <v>227</v>
      </c>
      <c r="AL316" s="273">
        <v>0.930177691984852</v>
      </c>
      <c r="AM316" s="273">
        <v>1.57562878314026</v>
      </c>
      <c r="AN316" s="273">
        <v>0.0800000000000001</v>
      </c>
      <c r="AO316" s="273">
        <v>0</v>
      </c>
      <c r="AP316" s="273">
        <f t="shared" si="3"/>
        <v>0.0800000000000001</v>
      </c>
      <c r="AQ316" s="273">
        <v>-166306.19408746436</v>
      </c>
      <c r="AR316" s="273">
        <v>5079292.314528569</v>
      </c>
      <c r="AS316" s="273">
        <v>1</v>
      </c>
      <c r="AT316" s="273">
        <v>6061</v>
      </c>
      <c r="AU316" s="273">
        <v>0</v>
      </c>
      <c r="AV316" s="273">
        <v>0</v>
      </c>
      <c r="AW316" s="273">
        <v>0</v>
      </c>
      <c r="AX316" s="273">
        <v>1.0941166666666666</v>
      </c>
      <c r="AY316" s="273">
        <v>2171.85</v>
      </c>
      <c r="AZ316" s="273">
        <v>2.79070838225476</v>
      </c>
      <c r="BA316" s="273">
        <v>2911</v>
      </c>
      <c r="BB316" s="273">
        <v>0.480283781554199</v>
      </c>
      <c r="BC316" s="273">
        <v>0</v>
      </c>
      <c r="BD316" s="273">
        <v>0</v>
      </c>
      <c r="BE316" s="273">
        <v>6394</v>
      </c>
      <c r="BF316" s="273">
        <v>6061</v>
      </c>
      <c r="BG316" s="273">
        <v>-0.05208007507037848</v>
      </c>
      <c r="BH316" s="273">
        <v>0</v>
      </c>
      <c r="BI316" s="273">
        <v>0</v>
      </c>
      <c r="BJ316" s="273">
        <v>0</v>
      </c>
      <c r="BK316" s="273">
        <v>1352533.2202177914</v>
      </c>
      <c r="BL316" s="273">
        <v>7968.65</v>
      </c>
    </row>
    <row r="317" spans="6:64" s="273" customFormat="1" ht="12.75">
      <c r="F317" s="273">
        <v>749</v>
      </c>
      <c r="G317" s="273" t="s">
        <v>252</v>
      </c>
      <c r="H317" s="273">
        <v>1978</v>
      </c>
      <c r="I317" s="273">
        <v>274</v>
      </c>
      <c r="J317" s="273">
        <v>1793</v>
      </c>
      <c r="K317" s="273">
        <v>928</v>
      </c>
      <c r="L317" s="273">
        <v>16144</v>
      </c>
      <c r="M317" s="273">
        <v>1933</v>
      </c>
      <c r="N317" s="273">
        <v>997</v>
      </c>
      <c r="O317" s="273">
        <v>259</v>
      </c>
      <c r="P317" s="273">
        <v>21311</v>
      </c>
      <c r="Q317" s="273">
        <v>1</v>
      </c>
      <c r="R317" s="273">
        <v>14</v>
      </c>
      <c r="S317" s="273">
        <v>400.96</v>
      </c>
      <c r="T317" s="273">
        <v>53.14994014365523</v>
      </c>
      <c r="U317" s="273">
        <v>0</v>
      </c>
      <c r="V317" s="273">
        <v>0</v>
      </c>
      <c r="W317" s="273">
        <v>9104</v>
      </c>
      <c r="X317" s="273">
        <v>370</v>
      </c>
      <c r="Y317" s="273">
        <v>92</v>
      </c>
      <c r="Z317" s="273">
        <v>0.9972448900888404</v>
      </c>
      <c r="AA317" s="273">
        <v>50</v>
      </c>
      <c r="AB317" s="273">
        <v>50</v>
      </c>
      <c r="AC317" s="273">
        <v>1.517876184216143</v>
      </c>
      <c r="AD317" s="273">
        <v>724</v>
      </c>
      <c r="AE317" s="273">
        <v>138</v>
      </c>
      <c r="AF317" s="273">
        <v>36</v>
      </c>
      <c r="AG317" s="273">
        <v>3</v>
      </c>
      <c r="AH317" s="273">
        <v>901</v>
      </c>
      <c r="AI317" s="273">
        <v>0.8406369184439132</v>
      </c>
      <c r="AJ317" s="273">
        <v>10048</v>
      </c>
      <c r="AK317" s="273">
        <v>735</v>
      </c>
      <c r="AL317" s="273">
        <v>0.7739341550505119</v>
      </c>
      <c r="AM317" s="273">
        <v>1.02397985218367</v>
      </c>
      <c r="AN317" s="273">
        <v>0</v>
      </c>
      <c r="AO317" s="273">
        <v>0</v>
      </c>
      <c r="AP317" s="273">
        <f t="shared" si="3"/>
        <v>0</v>
      </c>
      <c r="AQ317" s="273">
        <v>-59214.694434806705</v>
      </c>
      <c r="AR317" s="273">
        <v>-496161.0193713863</v>
      </c>
      <c r="AS317" s="273">
        <v>1</v>
      </c>
      <c r="AT317" s="273">
        <v>21311</v>
      </c>
      <c r="AU317" s="273">
        <v>0</v>
      </c>
      <c r="AV317" s="273">
        <v>0</v>
      </c>
      <c r="AW317" s="273">
        <v>0</v>
      </c>
      <c r="AX317" s="273">
        <v>0</v>
      </c>
      <c r="AY317" s="273">
        <v>400.96</v>
      </c>
      <c r="AZ317" s="273">
        <v>53.14994014365523</v>
      </c>
      <c r="BA317" s="273">
        <v>16781</v>
      </c>
      <c r="BB317" s="273">
        <v>0.7874337196752851</v>
      </c>
      <c r="BC317" s="273">
        <v>0</v>
      </c>
      <c r="BD317" s="273">
        <v>0</v>
      </c>
      <c r="BE317" s="273">
        <v>20769</v>
      </c>
      <c r="BF317" s="273">
        <v>21311</v>
      </c>
      <c r="BG317" s="273">
        <v>0.026096586258365834</v>
      </c>
      <c r="BH317" s="273">
        <v>0</v>
      </c>
      <c r="BI317" s="273">
        <v>1</v>
      </c>
      <c r="BJ317" s="273">
        <v>4.6924123691990054E-05</v>
      </c>
      <c r="BK317" s="273">
        <v>2805321.8731547357</v>
      </c>
      <c r="BL317" s="273">
        <v>5855.98</v>
      </c>
    </row>
    <row r="318" spans="6:64" s="273" customFormat="1" ht="12.75">
      <c r="F318" s="273">
        <v>751</v>
      </c>
      <c r="G318" s="273" t="s">
        <v>253</v>
      </c>
      <c r="H318" s="273">
        <v>241</v>
      </c>
      <c r="I318" s="273">
        <v>39</v>
      </c>
      <c r="J318" s="273">
        <v>263</v>
      </c>
      <c r="K318" s="273">
        <v>123</v>
      </c>
      <c r="L318" s="273">
        <v>2407</v>
      </c>
      <c r="M318" s="273">
        <v>447</v>
      </c>
      <c r="N318" s="273">
        <v>270</v>
      </c>
      <c r="O318" s="273">
        <v>76</v>
      </c>
      <c r="P318" s="273">
        <v>3441</v>
      </c>
      <c r="Q318" s="273">
        <v>0</v>
      </c>
      <c r="R318" s="273">
        <v>0</v>
      </c>
      <c r="S318" s="273">
        <v>1446.03</v>
      </c>
      <c r="T318" s="273">
        <v>2.3796186801103714</v>
      </c>
      <c r="U318" s="273">
        <v>0</v>
      </c>
      <c r="V318" s="273">
        <v>0</v>
      </c>
      <c r="W318" s="273">
        <v>1194</v>
      </c>
      <c r="X318" s="273">
        <v>109</v>
      </c>
      <c r="Y318" s="273">
        <v>22</v>
      </c>
      <c r="Z318" s="273">
        <v>0.9352952838489522</v>
      </c>
      <c r="AA318" s="273">
        <v>11</v>
      </c>
      <c r="AB318" s="273">
        <v>11</v>
      </c>
      <c r="AC318" s="273">
        <v>2.068131665098125</v>
      </c>
      <c r="AD318" s="273">
        <v>214</v>
      </c>
      <c r="AE318" s="273">
        <v>25</v>
      </c>
      <c r="AF318" s="273">
        <v>7</v>
      </c>
      <c r="AG318" s="273">
        <v>1</v>
      </c>
      <c r="AH318" s="273">
        <v>247</v>
      </c>
      <c r="AI318" s="273">
        <v>1.4272491000611494</v>
      </c>
      <c r="AJ318" s="273">
        <v>1433</v>
      </c>
      <c r="AK318" s="273">
        <v>174</v>
      </c>
      <c r="AL318" s="273">
        <v>1.284693002027878</v>
      </c>
      <c r="AM318" s="273">
        <v>1.56894134865777</v>
      </c>
      <c r="AN318" s="273">
        <v>0</v>
      </c>
      <c r="AO318" s="273">
        <v>0</v>
      </c>
      <c r="AP318" s="273">
        <f t="shared" si="3"/>
        <v>0</v>
      </c>
      <c r="AQ318" s="273">
        <v>-78985.75758260861</v>
      </c>
      <c r="AR318" s="273">
        <v>1387171.948843373</v>
      </c>
      <c r="AS318" s="273">
        <v>1</v>
      </c>
      <c r="AT318" s="273">
        <v>3441</v>
      </c>
      <c r="AU318" s="273">
        <v>0</v>
      </c>
      <c r="AV318" s="273">
        <v>0</v>
      </c>
      <c r="AW318" s="273">
        <v>0</v>
      </c>
      <c r="AX318" s="273">
        <v>0</v>
      </c>
      <c r="AY318" s="273">
        <v>1446.03</v>
      </c>
      <c r="AZ318" s="273">
        <v>2.3796186801103714</v>
      </c>
      <c r="BA318" s="273">
        <v>1913</v>
      </c>
      <c r="BB318" s="273">
        <v>0.5559430398140076</v>
      </c>
      <c r="BC318" s="273">
        <v>0</v>
      </c>
      <c r="BD318" s="273">
        <v>0</v>
      </c>
      <c r="BE318" s="273">
        <v>3546</v>
      </c>
      <c r="BF318" s="273">
        <v>3441</v>
      </c>
      <c r="BG318" s="273">
        <v>-0.02961082910321489</v>
      </c>
      <c r="BH318" s="273">
        <v>0</v>
      </c>
      <c r="BI318" s="273">
        <v>0</v>
      </c>
      <c r="BJ318" s="273">
        <v>0</v>
      </c>
      <c r="BK318" s="273">
        <v>636598.6627733564</v>
      </c>
      <c r="BL318" s="273">
        <v>8098.42</v>
      </c>
    </row>
    <row r="319" spans="6:64" s="273" customFormat="1" ht="12.75">
      <c r="F319" s="273">
        <v>753</v>
      </c>
      <c r="G319" s="273" t="s">
        <v>254</v>
      </c>
      <c r="H319" s="273">
        <v>1726</v>
      </c>
      <c r="I319" s="273">
        <v>233</v>
      </c>
      <c r="J319" s="273">
        <v>1616</v>
      </c>
      <c r="K319" s="273">
        <v>837</v>
      </c>
      <c r="L319" s="273">
        <v>14029</v>
      </c>
      <c r="M319" s="273">
        <v>1613</v>
      </c>
      <c r="N319" s="273">
        <v>879</v>
      </c>
      <c r="O319" s="273">
        <v>279</v>
      </c>
      <c r="P319" s="273">
        <v>18526</v>
      </c>
      <c r="Q319" s="273">
        <v>913</v>
      </c>
      <c r="R319" s="273">
        <v>46</v>
      </c>
      <c r="S319" s="273">
        <v>339.61</v>
      </c>
      <c r="T319" s="273">
        <v>54.55080828008598</v>
      </c>
      <c r="U319" s="273">
        <v>1</v>
      </c>
      <c r="V319" s="273">
        <v>1</v>
      </c>
      <c r="W319" s="273">
        <v>8587</v>
      </c>
      <c r="X319" s="273">
        <v>179</v>
      </c>
      <c r="Y319" s="273">
        <v>104</v>
      </c>
      <c r="Z319" s="273">
        <v>1.0159344429261574</v>
      </c>
      <c r="AA319" s="273">
        <v>21</v>
      </c>
      <c r="AB319" s="273">
        <v>21</v>
      </c>
      <c r="AC319" s="273">
        <v>0.7333441073069573</v>
      </c>
      <c r="AD319" s="273">
        <v>468</v>
      </c>
      <c r="AE319" s="273">
        <v>103</v>
      </c>
      <c r="AF319" s="273">
        <v>17</v>
      </c>
      <c r="AG319" s="273">
        <v>10</v>
      </c>
      <c r="AH319" s="273">
        <v>598</v>
      </c>
      <c r="AI319" s="273">
        <v>0.6418108009008081</v>
      </c>
      <c r="AJ319" s="273">
        <v>9092</v>
      </c>
      <c r="AK319" s="273">
        <v>403</v>
      </c>
      <c r="AL319" s="273">
        <v>0.4689666069818215</v>
      </c>
      <c r="AM319" s="273">
        <v>0.645986467193145</v>
      </c>
      <c r="AN319" s="273">
        <v>0</v>
      </c>
      <c r="AO319" s="273">
        <v>0</v>
      </c>
      <c r="AP319" s="273">
        <f t="shared" si="3"/>
        <v>0</v>
      </c>
      <c r="AQ319" s="273">
        <v>338261.93236998096</v>
      </c>
      <c r="AR319" s="273">
        <v>-6006058.737970444</v>
      </c>
      <c r="AS319" s="273">
        <v>0</v>
      </c>
      <c r="AT319" s="273">
        <v>18526</v>
      </c>
      <c r="AU319" s="273">
        <v>1</v>
      </c>
      <c r="AV319" s="273">
        <v>224</v>
      </c>
      <c r="AW319" s="273">
        <v>0.012091115189463457</v>
      </c>
      <c r="AX319" s="273">
        <v>0</v>
      </c>
      <c r="AY319" s="273">
        <v>339.61</v>
      </c>
      <c r="AZ319" s="273">
        <v>54.55080828008598</v>
      </c>
      <c r="BA319" s="273">
        <v>14829</v>
      </c>
      <c r="BB319" s="273">
        <v>0.8004426211810428</v>
      </c>
      <c r="BC319" s="273">
        <v>1</v>
      </c>
      <c r="BD319" s="273">
        <v>0</v>
      </c>
      <c r="BE319" s="273">
        <v>17840</v>
      </c>
      <c r="BF319" s="273">
        <v>18526</v>
      </c>
      <c r="BG319" s="273">
        <v>0.03845291479820628</v>
      </c>
      <c r="BH319" s="273">
        <v>0</v>
      </c>
      <c r="BI319" s="273">
        <v>0</v>
      </c>
      <c r="BJ319" s="273">
        <v>0</v>
      </c>
      <c r="BK319" s="273">
        <v>2244607.013587018</v>
      </c>
      <c r="BL319" s="273">
        <v>6420.46</v>
      </c>
    </row>
    <row r="320" spans="6:64" s="273" customFormat="1" ht="12.75">
      <c r="F320" s="273">
        <v>755</v>
      </c>
      <c r="G320" s="273" t="s">
        <v>255</v>
      </c>
      <c r="H320" s="273">
        <v>611</v>
      </c>
      <c r="I320" s="273">
        <v>94</v>
      </c>
      <c r="J320" s="273">
        <v>539</v>
      </c>
      <c r="K320" s="273">
        <v>263</v>
      </c>
      <c r="L320" s="273">
        <v>4717</v>
      </c>
      <c r="M320" s="273">
        <v>529</v>
      </c>
      <c r="N320" s="273">
        <v>215</v>
      </c>
      <c r="O320" s="273">
        <v>76</v>
      </c>
      <c r="P320" s="273">
        <v>6148</v>
      </c>
      <c r="Q320" s="273">
        <v>254</v>
      </c>
      <c r="R320" s="273">
        <v>19</v>
      </c>
      <c r="S320" s="273">
        <v>241.08</v>
      </c>
      <c r="T320" s="273">
        <v>25.50190808030529</v>
      </c>
      <c r="U320" s="273">
        <v>0</v>
      </c>
      <c r="V320" s="273">
        <v>1</v>
      </c>
      <c r="W320" s="273">
        <v>2890</v>
      </c>
      <c r="X320" s="273">
        <v>104</v>
      </c>
      <c r="Y320" s="273">
        <v>34</v>
      </c>
      <c r="Z320" s="273">
        <v>1.0003924225866814</v>
      </c>
      <c r="AA320" s="273">
        <v>6</v>
      </c>
      <c r="AB320" s="273">
        <v>6</v>
      </c>
      <c r="AC320" s="273">
        <v>0.631375264056543</v>
      </c>
      <c r="AD320" s="273">
        <v>124</v>
      </c>
      <c r="AE320" s="273">
        <v>46</v>
      </c>
      <c r="AF320" s="273">
        <v>6</v>
      </c>
      <c r="AG320" s="273">
        <v>4</v>
      </c>
      <c r="AH320" s="273">
        <v>180</v>
      </c>
      <c r="AI320" s="273">
        <v>0.5821382600285235</v>
      </c>
      <c r="AJ320" s="273">
        <v>3077</v>
      </c>
      <c r="AK320" s="273">
        <v>126</v>
      </c>
      <c r="AL320" s="273">
        <v>0.4332507761705303</v>
      </c>
      <c r="AM320" s="273">
        <v>0.623265925087721</v>
      </c>
      <c r="AN320" s="273">
        <v>0</v>
      </c>
      <c r="AO320" s="273">
        <v>0</v>
      </c>
      <c r="AP320" s="273">
        <f t="shared" si="3"/>
        <v>0</v>
      </c>
      <c r="AQ320" s="273">
        <v>113029.24575293995</v>
      </c>
      <c r="AR320" s="273">
        <v>-910844.3319542881</v>
      </c>
      <c r="AS320" s="273">
        <v>0</v>
      </c>
      <c r="AT320" s="273">
        <v>6148</v>
      </c>
      <c r="AU320" s="273">
        <v>0</v>
      </c>
      <c r="AV320" s="273">
        <v>0</v>
      </c>
      <c r="AW320" s="273">
        <v>0</v>
      </c>
      <c r="AX320" s="273">
        <v>0</v>
      </c>
      <c r="AY320" s="273">
        <v>241.08</v>
      </c>
      <c r="AZ320" s="273">
        <v>25.50190808030529</v>
      </c>
      <c r="BA320" s="273">
        <v>2874</v>
      </c>
      <c r="BB320" s="273">
        <v>0.4674690956408588</v>
      </c>
      <c r="BC320" s="273">
        <v>1</v>
      </c>
      <c r="BD320" s="273">
        <v>0</v>
      </c>
      <c r="BE320" s="273">
        <v>5871</v>
      </c>
      <c r="BF320" s="273">
        <v>6148</v>
      </c>
      <c r="BG320" s="273">
        <v>0.04718105944472833</v>
      </c>
      <c r="BH320" s="273">
        <v>0</v>
      </c>
      <c r="BI320" s="273">
        <v>0</v>
      </c>
      <c r="BJ320" s="273">
        <v>0</v>
      </c>
      <c r="BK320" s="273">
        <v>912695.2071782195</v>
      </c>
      <c r="BL320" s="273">
        <v>6685.71</v>
      </c>
    </row>
    <row r="321" spans="6:64" s="273" customFormat="1" ht="12.75">
      <c r="F321" s="273">
        <v>758</v>
      </c>
      <c r="G321" s="273" t="s">
        <v>256</v>
      </c>
      <c r="H321" s="273">
        <v>530</v>
      </c>
      <c r="I321" s="273">
        <v>75</v>
      </c>
      <c r="J321" s="273">
        <v>482</v>
      </c>
      <c r="K321" s="273">
        <v>299</v>
      </c>
      <c r="L321" s="273">
        <v>6388</v>
      </c>
      <c r="M321" s="273">
        <v>1056</v>
      </c>
      <c r="N321" s="273">
        <v>655</v>
      </c>
      <c r="O321" s="273">
        <v>177</v>
      </c>
      <c r="P321" s="273">
        <v>8806</v>
      </c>
      <c r="Q321" s="273">
        <v>0</v>
      </c>
      <c r="R321" s="273">
        <v>5</v>
      </c>
      <c r="S321" s="273">
        <v>11696.81</v>
      </c>
      <c r="T321" s="273">
        <v>0.752854838199475</v>
      </c>
      <c r="U321" s="273">
        <v>0</v>
      </c>
      <c r="V321" s="273">
        <v>0</v>
      </c>
      <c r="W321" s="273">
        <v>3401</v>
      </c>
      <c r="X321" s="273">
        <v>350</v>
      </c>
      <c r="Y321" s="273">
        <v>35</v>
      </c>
      <c r="Z321" s="273">
        <v>0.9316322458005398</v>
      </c>
      <c r="AA321" s="273">
        <v>12</v>
      </c>
      <c r="AB321" s="273">
        <v>12</v>
      </c>
      <c r="AC321" s="273">
        <v>0.8816023446331198</v>
      </c>
      <c r="AD321" s="273">
        <v>565</v>
      </c>
      <c r="AE321" s="273">
        <v>46</v>
      </c>
      <c r="AF321" s="273">
        <v>25</v>
      </c>
      <c r="AG321" s="273">
        <v>7</v>
      </c>
      <c r="AH321" s="273">
        <v>643</v>
      </c>
      <c r="AI321" s="273">
        <v>1.451843448007292</v>
      </c>
      <c r="AJ321" s="273">
        <v>3966</v>
      </c>
      <c r="AK321" s="273">
        <v>405</v>
      </c>
      <c r="AL321" s="273">
        <v>1.080434924041</v>
      </c>
      <c r="AM321" s="273">
        <v>1.22016241879441</v>
      </c>
      <c r="AN321" s="273">
        <v>0.0800000000000001</v>
      </c>
      <c r="AO321" s="273">
        <v>0</v>
      </c>
      <c r="AP321" s="273">
        <f t="shared" si="3"/>
        <v>0.0800000000000001</v>
      </c>
      <c r="AQ321" s="273">
        <v>-287297.2251544371</v>
      </c>
      <c r="AR321" s="273">
        <v>2671501.3998461524</v>
      </c>
      <c r="AS321" s="273">
        <v>1</v>
      </c>
      <c r="AT321" s="273">
        <v>8806</v>
      </c>
      <c r="AU321" s="273">
        <v>0</v>
      </c>
      <c r="AV321" s="273">
        <v>0</v>
      </c>
      <c r="AW321" s="273">
        <v>0</v>
      </c>
      <c r="AX321" s="273">
        <v>1.3773166666666667</v>
      </c>
      <c r="AY321" s="273">
        <v>11696.81</v>
      </c>
      <c r="AZ321" s="273">
        <v>0.752854838199475</v>
      </c>
      <c r="BA321" s="273">
        <v>5089</v>
      </c>
      <c r="BB321" s="273">
        <v>0.5779014308426074</v>
      </c>
      <c r="BC321" s="273">
        <v>0</v>
      </c>
      <c r="BD321" s="273">
        <v>1</v>
      </c>
      <c r="BE321" s="273">
        <v>8872</v>
      </c>
      <c r="BF321" s="273">
        <v>8806</v>
      </c>
      <c r="BG321" s="273">
        <v>-0.007439134355275023</v>
      </c>
      <c r="BH321" s="273">
        <v>0</v>
      </c>
      <c r="BI321" s="273">
        <v>131</v>
      </c>
      <c r="BJ321" s="273">
        <v>0.0148762207585737</v>
      </c>
      <c r="BK321" s="273">
        <v>1975574.041526966</v>
      </c>
      <c r="BL321" s="273">
        <v>8975.87</v>
      </c>
    </row>
    <row r="322" spans="6:64" s="273" customFormat="1" ht="12.75">
      <c r="F322" s="273">
        <v>759</v>
      </c>
      <c r="G322" s="273" t="s">
        <v>257</v>
      </c>
      <c r="H322" s="273">
        <v>157</v>
      </c>
      <c r="I322" s="273">
        <v>24</v>
      </c>
      <c r="J322" s="273">
        <v>170</v>
      </c>
      <c r="K322" s="273">
        <v>97</v>
      </c>
      <c r="L322" s="273">
        <v>1614</v>
      </c>
      <c r="M322" s="273">
        <v>286</v>
      </c>
      <c r="N322" s="273">
        <v>225</v>
      </c>
      <c r="O322" s="273">
        <v>78</v>
      </c>
      <c r="P322" s="273">
        <v>2360</v>
      </c>
      <c r="Q322" s="273">
        <v>2</v>
      </c>
      <c r="R322" s="273">
        <v>1</v>
      </c>
      <c r="S322" s="273">
        <v>552.06</v>
      </c>
      <c r="T322" s="273">
        <v>4.274897656051879</v>
      </c>
      <c r="U322" s="273">
        <v>0</v>
      </c>
      <c r="V322" s="273">
        <v>0</v>
      </c>
      <c r="W322" s="273">
        <v>796</v>
      </c>
      <c r="X322" s="273">
        <v>137</v>
      </c>
      <c r="Y322" s="273">
        <v>20</v>
      </c>
      <c r="Z322" s="273">
        <v>0.8433495104131896</v>
      </c>
      <c r="AA322" s="273">
        <v>3</v>
      </c>
      <c r="AB322" s="273">
        <v>2</v>
      </c>
      <c r="AC322" s="273">
        <v>0.5482620230818681</v>
      </c>
      <c r="AD322" s="273">
        <v>178</v>
      </c>
      <c r="AE322" s="273">
        <v>14</v>
      </c>
      <c r="AF322" s="273">
        <v>6</v>
      </c>
      <c r="AG322" s="273">
        <v>1</v>
      </c>
      <c r="AH322" s="273">
        <v>199</v>
      </c>
      <c r="AI322" s="273">
        <v>1.6765965595772532</v>
      </c>
      <c r="AJ322" s="273">
        <v>966</v>
      </c>
      <c r="AK322" s="273">
        <v>103</v>
      </c>
      <c r="AL322" s="273">
        <v>1.1281228576563669</v>
      </c>
      <c r="AM322" s="273">
        <v>1.69202124580925</v>
      </c>
      <c r="AN322" s="273">
        <v>0</v>
      </c>
      <c r="AO322" s="273">
        <v>0</v>
      </c>
      <c r="AP322" s="273">
        <f t="shared" si="3"/>
        <v>0</v>
      </c>
      <c r="AQ322" s="273">
        <v>-12221.49818348512</v>
      </c>
      <c r="AR322" s="273">
        <v>2455351.179595181</v>
      </c>
      <c r="AS322" s="273">
        <v>1</v>
      </c>
      <c r="AT322" s="273">
        <v>2360</v>
      </c>
      <c r="AU322" s="273">
        <v>0</v>
      </c>
      <c r="AV322" s="273">
        <v>0</v>
      </c>
      <c r="AW322" s="273">
        <v>0</v>
      </c>
      <c r="AX322" s="273">
        <v>0.3894666666666666</v>
      </c>
      <c r="AY322" s="273">
        <v>552.06</v>
      </c>
      <c r="AZ322" s="273">
        <v>4.274897656051879</v>
      </c>
      <c r="BA322" s="273">
        <v>1100</v>
      </c>
      <c r="BB322" s="273">
        <v>0.4661016949152542</v>
      </c>
      <c r="BC322" s="273">
        <v>0</v>
      </c>
      <c r="BD322" s="273">
        <v>0</v>
      </c>
      <c r="BE322" s="273">
        <v>2455</v>
      </c>
      <c r="BF322" s="273">
        <v>2360</v>
      </c>
      <c r="BG322" s="273">
        <v>-0.038696537678207736</v>
      </c>
      <c r="BH322" s="273">
        <v>0</v>
      </c>
      <c r="BI322" s="273">
        <v>0</v>
      </c>
      <c r="BJ322" s="273">
        <v>0</v>
      </c>
      <c r="BK322" s="273">
        <v>562689.6528348788</v>
      </c>
      <c r="BL322" s="273">
        <v>7368.68</v>
      </c>
    </row>
    <row r="323" spans="6:64" s="273" customFormat="1" ht="12.75">
      <c r="F323" s="273">
        <v>761</v>
      </c>
      <c r="G323" s="273" t="s">
        <v>258</v>
      </c>
      <c r="H323" s="273">
        <v>563</v>
      </c>
      <c r="I323" s="273">
        <v>88</v>
      </c>
      <c r="J323" s="273">
        <v>612</v>
      </c>
      <c r="K323" s="273">
        <v>302</v>
      </c>
      <c r="L323" s="273">
        <v>6215</v>
      </c>
      <c r="M323" s="273">
        <v>1272</v>
      </c>
      <c r="N323" s="273">
        <v>894</v>
      </c>
      <c r="O323" s="273">
        <v>324</v>
      </c>
      <c r="P323" s="273">
        <v>9268</v>
      </c>
      <c r="Q323" s="273">
        <v>1</v>
      </c>
      <c r="R323" s="273">
        <v>27</v>
      </c>
      <c r="S323" s="273">
        <v>667.78</v>
      </c>
      <c r="T323" s="273">
        <v>13.878822366647698</v>
      </c>
      <c r="U323" s="273">
        <v>0</v>
      </c>
      <c r="V323" s="273">
        <v>0</v>
      </c>
      <c r="W323" s="273">
        <v>3654</v>
      </c>
      <c r="X323" s="273">
        <v>469</v>
      </c>
      <c r="Y323" s="273">
        <v>41</v>
      </c>
      <c r="Z323" s="273">
        <v>0.9039279205022808</v>
      </c>
      <c r="AA323" s="273">
        <v>9</v>
      </c>
      <c r="AB323" s="273">
        <v>9</v>
      </c>
      <c r="AC323" s="273">
        <v>0.6282415499708071</v>
      </c>
      <c r="AD323" s="273">
        <v>533</v>
      </c>
      <c r="AE323" s="273">
        <v>75</v>
      </c>
      <c r="AF323" s="273">
        <v>13</v>
      </c>
      <c r="AG323" s="273">
        <v>4</v>
      </c>
      <c r="AH323" s="273">
        <v>625</v>
      </c>
      <c r="AI323" s="273">
        <v>1.3408539923270042</v>
      </c>
      <c r="AJ323" s="273">
        <v>4085</v>
      </c>
      <c r="AK323" s="273">
        <v>362</v>
      </c>
      <c r="AL323" s="273">
        <v>0.9375896622489817</v>
      </c>
      <c r="AM323" s="273">
        <v>1.05366397023844</v>
      </c>
      <c r="AN323" s="273">
        <v>0</v>
      </c>
      <c r="AO323" s="273">
        <v>0</v>
      </c>
      <c r="AP323" s="273">
        <f t="shared" si="3"/>
        <v>0</v>
      </c>
      <c r="AQ323" s="273">
        <v>273763.0343242958</v>
      </c>
      <c r="AR323" s="273">
        <v>5850650.814983774</v>
      </c>
      <c r="AS323" s="273">
        <v>1</v>
      </c>
      <c r="AT323" s="273">
        <v>9268</v>
      </c>
      <c r="AU323" s="273">
        <v>0</v>
      </c>
      <c r="AV323" s="273">
        <v>0</v>
      </c>
      <c r="AW323" s="273">
        <v>0</v>
      </c>
      <c r="AX323" s="273">
        <v>0</v>
      </c>
      <c r="AY323" s="273">
        <v>667.78</v>
      </c>
      <c r="AZ323" s="273">
        <v>13.878822366647698</v>
      </c>
      <c r="BA323" s="273">
        <v>5068</v>
      </c>
      <c r="BB323" s="273">
        <v>0.5468277945619335</v>
      </c>
      <c r="BC323" s="273">
        <v>0</v>
      </c>
      <c r="BD323" s="273">
        <v>0</v>
      </c>
      <c r="BE323" s="273">
        <v>9465</v>
      </c>
      <c r="BF323" s="273">
        <v>9268</v>
      </c>
      <c r="BG323" s="273">
        <v>-0.0208135235076598</v>
      </c>
      <c r="BH323" s="273">
        <v>0</v>
      </c>
      <c r="BI323" s="273">
        <v>0</v>
      </c>
      <c r="BJ323" s="273">
        <v>0</v>
      </c>
      <c r="BK323" s="273">
        <v>1800250.7504302554</v>
      </c>
      <c r="BL323" s="273">
        <v>6604.99</v>
      </c>
    </row>
    <row r="324" spans="6:64" s="273" customFormat="1" ht="12.75">
      <c r="F324" s="273">
        <v>762</v>
      </c>
      <c r="G324" s="273" t="s">
        <v>259</v>
      </c>
      <c r="H324" s="273">
        <v>284</v>
      </c>
      <c r="I324" s="273">
        <v>37</v>
      </c>
      <c r="J324" s="273">
        <v>257</v>
      </c>
      <c r="K324" s="273">
        <v>159</v>
      </c>
      <c r="L324" s="273">
        <v>3189</v>
      </c>
      <c r="M324" s="273">
        <v>544</v>
      </c>
      <c r="N324" s="273">
        <v>441</v>
      </c>
      <c r="O324" s="273">
        <v>142</v>
      </c>
      <c r="P324" s="273">
        <v>4600</v>
      </c>
      <c r="Q324" s="273">
        <v>0</v>
      </c>
      <c r="R324" s="273">
        <v>6</v>
      </c>
      <c r="S324" s="273">
        <v>1465.87</v>
      </c>
      <c r="T324" s="273">
        <v>3.1380681779421096</v>
      </c>
      <c r="U324" s="273">
        <v>0</v>
      </c>
      <c r="V324" s="273">
        <v>0</v>
      </c>
      <c r="W324" s="273">
        <v>1630</v>
      </c>
      <c r="X324" s="273">
        <v>348</v>
      </c>
      <c r="Y324" s="273">
        <v>18</v>
      </c>
      <c r="Z324" s="273">
        <v>0.8146654087628947</v>
      </c>
      <c r="AA324" s="273">
        <v>7</v>
      </c>
      <c r="AB324" s="273">
        <v>7</v>
      </c>
      <c r="AC324" s="273">
        <v>0.9844878936209197</v>
      </c>
      <c r="AD324" s="273">
        <v>376</v>
      </c>
      <c r="AE324" s="273">
        <v>29</v>
      </c>
      <c r="AF324" s="273">
        <v>6</v>
      </c>
      <c r="AG324" s="273">
        <v>5</v>
      </c>
      <c r="AH324" s="273">
        <v>416</v>
      </c>
      <c r="AI324" s="273">
        <v>1.7981379051022113</v>
      </c>
      <c r="AJ324" s="273">
        <v>1980</v>
      </c>
      <c r="AK324" s="273">
        <v>260</v>
      </c>
      <c r="AL324" s="273">
        <v>1.389326943851001</v>
      </c>
      <c r="AM324" s="273">
        <v>1.53919448079145</v>
      </c>
      <c r="AN324" s="273">
        <v>0</v>
      </c>
      <c r="AO324" s="273">
        <v>0</v>
      </c>
      <c r="AP324" s="273">
        <f t="shared" si="3"/>
        <v>0</v>
      </c>
      <c r="AQ324" s="273">
        <v>17535.917514123023</v>
      </c>
      <c r="AR324" s="273">
        <v>3291580.2830278487</v>
      </c>
      <c r="AS324" s="273">
        <v>1</v>
      </c>
      <c r="AT324" s="273">
        <v>4600</v>
      </c>
      <c r="AU324" s="273">
        <v>0</v>
      </c>
      <c r="AV324" s="273">
        <v>0</v>
      </c>
      <c r="AW324" s="273">
        <v>0</v>
      </c>
      <c r="AX324" s="273">
        <v>0.1519</v>
      </c>
      <c r="AY324" s="273">
        <v>1465.87</v>
      </c>
      <c r="AZ324" s="273">
        <v>3.1380681779421096</v>
      </c>
      <c r="BA324" s="273">
        <v>1881</v>
      </c>
      <c r="BB324" s="273">
        <v>0.40891304347826085</v>
      </c>
      <c r="BC324" s="273">
        <v>0</v>
      </c>
      <c r="BD324" s="273">
        <v>0</v>
      </c>
      <c r="BE324" s="273">
        <v>4706</v>
      </c>
      <c r="BF324" s="273">
        <v>4600</v>
      </c>
      <c r="BG324" s="273">
        <v>-0.02252443688907777</v>
      </c>
      <c r="BH324" s="273">
        <v>0</v>
      </c>
      <c r="BI324" s="273">
        <v>0</v>
      </c>
      <c r="BJ324" s="273">
        <v>0</v>
      </c>
      <c r="BK324" s="273">
        <v>1187801.6128273401</v>
      </c>
      <c r="BL324" s="273">
        <v>7827.39</v>
      </c>
    </row>
    <row r="325" spans="6:64" s="273" customFormat="1" ht="12.75">
      <c r="F325" s="273">
        <v>765</v>
      </c>
      <c r="G325" s="273" t="s">
        <v>260</v>
      </c>
      <c r="H325" s="273">
        <v>749</v>
      </c>
      <c r="I325" s="273">
        <v>125</v>
      </c>
      <c r="J325" s="273">
        <v>688</v>
      </c>
      <c r="K325" s="273">
        <v>371</v>
      </c>
      <c r="L325" s="273">
        <v>7726</v>
      </c>
      <c r="M325" s="273">
        <v>1145</v>
      </c>
      <c r="N325" s="273">
        <v>794</v>
      </c>
      <c r="O325" s="273">
        <v>283</v>
      </c>
      <c r="P325" s="273">
        <v>10697</v>
      </c>
      <c r="Q325" s="273">
        <v>0</v>
      </c>
      <c r="R325" s="273">
        <v>15</v>
      </c>
      <c r="S325" s="273">
        <v>2649.16</v>
      </c>
      <c r="T325" s="273">
        <v>4.037883706533392</v>
      </c>
      <c r="U325" s="273">
        <v>0</v>
      </c>
      <c r="V325" s="273">
        <v>0</v>
      </c>
      <c r="W325" s="273">
        <v>4171</v>
      </c>
      <c r="X325" s="273">
        <v>420</v>
      </c>
      <c r="Y325" s="273">
        <v>42</v>
      </c>
      <c r="Z325" s="273">
        <v>0.9341926589629513</v>
      </c>
      <c r="AA325" s="273">
        <v>8</v>
      </c>
      <c r="AB325" s="273">
        <v>8</v>
      </c>
      <c r="AC325" s="273">
        <v>0.48383598185405585</v>
      </c>
      <c r="AD325" s="273">
        <v>627</v>
      </c>
      <c r="AE325" s="273">
        <v>80</v>
      </c>
      <c r="AF325" s="273">
        <v>19</v>
      </c>
      <c r="AG325" s="273">
        <v>0</v>
      </c>
      <c r="AH325" s="273">
        <v>726</v>
      </c>
      <c r="AI325" s="273">
        <v>1.3494665443311173</v>
      </c>
      <c r="AJ325" s="273">
        <v>4748</v>
      </c>
      <c r="AK325" s="273">
        <v>484</v>
      </c>
      <c r="AL325" s="273">
        <v>1.0785268265433958</v>
      </c>
      <c r="AM325" s="273">
        <v>1.07664239365823</v>
      </c>
      <c r="AN325" s="273">
        <v>0</v>
      </c>
      <c r="AO325" s="273">
        <v>0</v>
      </c>
      <c r="AP325" s="273">
        <f t="shared" si="3"/>
        <v>0</v>
      </c>
      <c r="AQ325" s="273">
        <v>231609.68106403947</v>
      </c>
      <c r="AR325" s="273">
        <v>3652841.183387334</v>
      </c>
      <c r="AS325" s="273">
        <v>1</v>
      </c>
      <c r="AT325" s="273">
        <v>10697</v>
      </c>
      <c r="AU325" s="273">
        <v>0</v>
      </c>
      <c r="AV325" s="273">
        <v>0</v>
      </c>
      <c r="AW325" s="273">
        <v>0</v>
      </c>
      <c r="AX325" s="273">
        <v>0.39399999999999996</v>
      </c>
      <c r="AY325" s="273">
        <v>2649.16</v>
      </c>
      <c r="AZ325" s="273">
        <v>4.037883706533392</v>
      </c>
      <c r="BA325" s="273">
        <v>6196</v>
      </c>
      <c r="BB325" s="273">
        <v>0.5792278208843601</v>
      </c>
      <c r="BC325" s="273">
        <v>0</v>
      </c>
      <c r="BD325" s="273">
        <v>0</v>
      </c>
      <c r="BE325" s="273">
        <v>10719</v>
      </c>
      <c r="BF325" s="273">
        <v>10697</v>
      </c>
      <c r="BG325" s="273">
        <v>-0.002052430264017166</v>
      </c>
      <c r="BH325" s="273">
        <v>0</v>
      </c>
      <c r="BI325" s="273">
        <v>0</v>
      </c>
      <c r="BJ325" s="273">
        <v>0</v>
      </c>
      <c r="BK325" s="273">
        <v>1996991.097162647</v>
      </c>
      <c r="BL325" s="273">
        <v>7418.83</v>
      </c>
    </row>
    <row r="326" spans="6:64" s="273" customFormat="1" ht="12.75">
      <c r="F326" s="273">
        <v>768</v>
      </c>
      <c r="G326" s="273" t="s">
        <v>261</v>
      </c>
      <c r="H326" s="273">
        <v>111</v>
      </c>
      <c r="I326" s="273">
        <v>23</v>
      </c>
      <c r="J326" s="273">
        <v>166</v>
      </c>
      <c r="K326" s="273">
        <v>87</v>
      </c>
      <c r="L326" s="273">
        <v>1871</v>
      </c>
      <c r="M326" s="273">
        <v>444</v>
      </c>
      <c r="N326" s="273">
        <v>341</v>
      </c>
      <c r="O326" s="273">
        <v>109</v>
      </c>
      <c r="P326" s="273">
        <v>2876</v>
      </c>
      <c r="Q326" s="273">
        <v>0</v>
      </c>
      <c r="R326" s="273">
        <v>6</v>
      </c>
      <c r="S326" s="273">
        <v>584.69</v>
      </c>
      <c r="T326" s="273">
        <v>4.9188458841437335</v>
      </c>
      <c r="U326" s="273">
        <v>2</v>
      </c>
      <c r="V326" s="273">
        <v>0</v>
      </c>
      <c r="W326" s="273">
        <v>1026</v>
      </c>
      <c r="X326" s="273">
        <v>197</v>
      </c>
      <c r="Y326" s="273">
        <v>16</v>
      </c>
      <c r="Z326" s="273">
        <v>0.8324592656118919</v>
      </c>
      <c r="AA326" s="273">
        <v>1</v>
      </c>
      <c r="AB326" s="273">
        <v>2</v>
      </c>
      <c r="AC326" s="273">
        <v>0.4498951232521588</v>
      </c>
      <c r="AD326" s="273">
        <v>156</v>
      </c>
      <c r="AE326" s="273">
        <v>4</v>
      </c>
      <c r="AF326" s="273">
        <v>6</v>
      </c>
      <c r="AG326" s="273">
        <v>2</v>
      </c>
      <c r="AH326" s="273">
        <v>168</v>
      </c>
      <c r="AI326" s="273">
        <v>1.1614697338241788</v>
      </c>
      <c r="AJ326" s="273">
        <v>1193</v>
      </c>
      <c r="AK326" s="273">
        <v>143</v>
      </c>
      <c r="AL326" s="273">
        <v>1.2682121054934954</v>
      </c>
      <c r="AM326" s="273">
        <v>1.06082523473697</v>
      </c>
      <c r="AN326" s="273">
        <v>0</v>
      </c>
      <c r="AO326" s="273">
        <v>0</v>
      </c>
      <c r="AP326" s="273">
        <f t="shared" si="3"/>
        <v>0</v>
      </c>
      <c r="AQ326" s="273">
        <v>295311.2232803684</v>
      </c>
      <c r="AR326" s="273">
        <v>2195687.921814634</v>
      </c>
      <c r="AS326" s="273">
        <v>1</v>
      </c>
      <c r="AT326" s="273">
        <v>2876</v>
      </c>
      <c r="AU326" s="273">
        <v>2</v>
      </c>
      <c r="AV326" s="273">
        <v>0</v>
      </c>
      <c r="AW326" s="273">
        <v>0</v>
      </c>
      <c r="AX326" s="273">
        <v>0.39905</v>
      </c>
      <c r="AY326" s="273">
        <v>584.69</v>
      </c>
      <c r="AZ326" s="273">
        <v>4.9188458841437335</v>
      </c>
      <c r="BA326" s="273">
        <v>1231</v>
      </c>
      <c r="BB326" s="273">
        <v>0.4280250347705146</v>
      </c>
      <c r="BC326" s="273">
        <v>0</v>
      </c>
      <c r="BD326" s="273">
        <v>0</v>
      </c>
      <c r="BE326" s="273">
        <v>3033</v>
      </c>
      <c r="BF326" s="273">
        <v>2876</v>
      </c>
      <c r="BG326" s="273">
        <v>-0.05176393010220903</v>
      </c>
      <c r="BH326" s="273">
        <v>0</v>
      </c>
      <c r="BI326" s="273">
        <v>0</v>
      </c>
      <c r="BJ326" s="273">
        <v>0</v>
      </c>
      <c r="BK326" s="273">
        <v>714031.3688734253</v>
      </c>
      <c r="BL326" s="273">
        <v>7704.47</v>
      </c>
    </row>
    <row r="327" spans="6:64" s="273" customFormat="1" ht="12.75">
      <c r="F327" s="273">
        <v>777</v>
      </c>
      <c r="G327" s="273" t="s">
        <v>262</v>
      </c>
      <c r="H327" s="273">
        <v>397</v>
      </c>
      <c r="I327" s="273">
        <v>69</v>
      </c>
      <c r="J327" s="273">
        <v>460</v>
      </c>
      <c r="K327" s="273">
        <v>286</v>
      </c>
      <c r="L327" s="273">
        <v>6201</v>
      </c>
      <c r="M327" s="273">
        <v>1174</v>
      </c>
      <c r="N327" s="273">
        <v>868</v>
      </c>
      <c r="O327" s="273">
        <v>303</v>
      </c>
      <c r="P327" s="273">
        <v>8943</v>
      </c>
      <c r="Q327" s="273">
        <v>0</v>
      </c>
      <c r="R327" s="273">
        <v>16</v>
      </c>
      <c r="S327" s="273">
        <v>5270.55</v>
      </c>
      <c r="T327" s="273">
        <v>1.6967868628511256</v>
      </c>
      <c r="U327" s="273">
        <v>0</v>
      </c>
      <c r="V327" s="273">
        <v>0</v>
      </c>
      <c r="W327" s="273">
        <v>3087</v>
      </c>
      <c r="X327" s="273">
        <v>344</v>
      </c>
      <c r="Y327" s="273">
        <v>36</v>
      </c>
      <c r="Z327" s="273">
        <v>0.9212371286180422</v>
      </c>
      <c r="AA327" s="273">
        <v>8</v>
      </c>
      <c r="AB327" s="273">
        <v>8</v>
      </c>
      <c r="AC327" s="273">
        <v>0.5787312420768015</v>
      </c>
      <c r="AD327" s="273">
        <v>744</v>
      </c>
      <c r="AE327" s="273">
        <v>69</v>
      </c>
      <c r="AF327" s="273">
        <v>18</v>
      </c>
      <c r="AG327" s="273">
        <v>0</v>
      </c>
      <c r="AH327" s="273">
        <v>831</v>
      </c>
      <c r="AI327" s="273">
        <v>1.847588669491102</v>
      </c>
      <c r="AJ327" s="273">
        <v>3861</v>
      </c>
      <c r="AK327" s="273">
        <v>501</v>
      </c>
      <c r="AL327" s="273">
        <v>1.3728852048705156</v>
      </c>
      <c r="AM327" s="273">
        <v>1.54106180953949</v>
      </c>
      <c r="AN327" s="273">
        <v>0.0800000000000001</v>
      </c>
      <c r="AO327" s="273">
        <v>0</v>
      </c>
      <c r="AP327" s="273">
        <f t="shared" si="3"/>
        <v>0.0800000000000001</v>
      </c>
      <c r="AQ327" s="273">
        <v>227788.47878620028</v>
      </c>
      <c r="AR327" s="273">
        <v>5221246.239215382</v>
      </c>
      <c r="AS327" s="273">
        <v>1</v>
      </c>
      <c r="AT327" s="273">
        <v>8943</v>
      </c>
      <c r="AU327" s="273">
        <v>0</v>
      </c>
      <c r="AV327" s="273">
        <v>0</v>
      </c>
      <c r="AW327" s="273">
        <v>0</v>
      </c>
      <c r="AX327" s="273">
        <v>1.2955833333333333</v>
      </c>
      <c r="AY327" s="273">
        <v>5270.55</v>
      </c>
      <c r="AZ327" s="273">
        <v>1.6967868628511256</v>
      </c>
      <c r="BA327" s="273">
        <v>5408</v>
      </c>
      <c r="BB327" s="273">
        <v>0.6047187744604718</v>
      </c>
      <c r="BC327" s="273">
        <v>0</v>
      </c>
      <c r="BD327" s="273">
        <v>0</v>
      </c>
      <c r="BE327" s="273">
        <v>9435</v>
      </c>
      <c r="BF327" s="273">
        <v>8943</v>
      </c>
      <c r="BG327" s="273">
        <v>-0.05214626391096979</v>
      </c>
      <c r="BH327" s="273">
        <v>0</v>
      </c>
      <c r="BI327" s="273">
        <v>0</v>
      </c>
      <c r="BJ327" s="273">
        <v>0</v>
      </c>
      <c r="BK327" s="273">
        <v>2129518.44480179</v>
      </c>
      <c r="BL327" s="273">
        <v>8357.08</v>
      </c>
    </row>
    <row r="328" spans="6:64" s="273" customFormat="1" ht="12.75">
      <c r="F328" s="273">
        <v>778</v>
      </c>
      <c r="G328" s="273" t="s">
        <v>263</v>
      </c>
      <c r="H328" s="273">
        <v>463</v>
      </c>
      <c r="I328" s="273">
        <v>63</v>
      </c>
      <c r="J328" s="273">
        <v>464</v>
      </c>
      <c r="K328" s="273">
        <v>243</v>
      </c>
      <c r="L328" s="273">
        <v>5159</v>
      </c>
      <c r="M328" s="273">
        <v>982</v>
      </c>
      <c r="N328" s="273">
        <v>686</v>
      </c>
      <c r="O328" s="273">
        <v>287</v>
      </c>
      <c r="P328" s="273">
        <v>7577</v>
      </c>
      <c r="Q328" s="273">
        <v>0</v>
      </c>
      <c r="R328" s="273">
        <v>11</v>
      </c>
      <c r="S328" s="273">
        <v>713.54</v>
      </c>
      <c r="T328" s="273">
        <v>10.618886117106259</v>
      </c>
      <c r="U328" s="273">
        <v>0</v>
      </c>
      <c r="V328" s="273">
        <v>0</v>
      </c>
      <c r="W328" s="273">
        <v>2750</v>
      </c>
      <c r="X328" s="273">
        <v>242</v>
      </c>
      <c r="Y328" s="273">
        <v>48</v>
      </c>
      <c r="Z328" s="273">
        <v>0.9397713912708445</v>
      </c>
      <c r="AA328" s="273">
        <v>16</v>
      </c>
      <c r="AB328" s="273">
        <v>16</v>
      </c>
      <c r="AC328" s="273">
        <v>1.3661326376911274</v>
      </c>
      <c r="AD328" s="273">
        <v>587</v>
      </c>
      <c r="AE328" s="273">
        <v>50</v>
      </c>
      <c r="AF328" s="273">
        <v>13</v>
      </c>
      <c r="AG328" s="273">
        <v>8</v>
      </c>
      <c r="AH328" s="273">
        <v>658</v>
      </c>
      <c r="AI328" s="273">
        <v>1.7266968771774438</v>
      </c>
      <c r="AJ328" s="273">
        <v>3146</v>
      </c>
      <c r="AK328" s="273">
        <v>306</v>
      </c>
      <c r="AL328" s="273">
        <v>1.0291033898240065</v>
      </c>
      <c r="AM328" s="273">
        <v>1.8808262527075</v>
      </c>
      <c r="AN328" s="273">
        <v>0</v>
      </c>
      <c r="AO328" s="273">
        <v>0</v>
      </c>
      <c r="AP328" s="273">
        <f t="shared" si="3"/>
        <v>0</v>
      </c>
      <c r="AQ328" s="273">
        <v>90136.78364054114</v>
      </c>
      <c r="AR328" s="273">
        <v>4444549.321800002</v>
      </c>
      <c r="AS328" s="273">
        <v>1</v>
      </c>
      <c r="AT328" s="273">
        <v>7577</v>
      </c>
      <c r="AU328" s="273">
        <v>0</v>
      </c>
      <c r="AV328" s="273">
        <v>0</v>
      </c>
      <c r="AW328" s="273">
        <v>0</v>
      </c>
      <c r="AX328" s="273">
        <v>0.07033333333333333</v>
      </c>
      <c r="AY328" s="273">
        <v>713.54</v>
      </c>
      <c r="AZ328" s="273">
        <v>10.618886117106259</v>
      </c>
      <c r="BA328" s="273">
        <v>5357</v>
      </c>
      <c r="BB328" s="273">
        <v>0.7070080506796885</v>
      </c>
      <c r="BC328" s="273">
        <v>0</v>
      </c>
      <c r="BD328" s="273">
        <v>0</v>
      </c>
      <c r="BE328" s="273">
        <v>7607</v>
      </c>
      <c r="BF328" s="273">
        <v>7577</v>
      </c>
      <c r="BG328" s="273">
        <v>-0.0039437360326015514</v>
      </c>
      <c r="BH328" s="273">
        <v>0</v>
      </c>
      <c r="BI328" s="273">
        <v>0</v>
      </c>
      <c r="BJ328" s="273">
        <v>0</v>
      </c>
      <c r="BK328" s="273">
        <v>1589957.540398385</v>
      </c>
      <c r="BL328" s="273">
        <v>6767.62</v>
      </c>
    </row>
    <row r="329" spans="6:64" s="273" customFormat="1" ht="12.75">
      <c r="F329" s="273">
        <v>781</v>
      </c>
      <c r="G329" s="273" t="s">
        <v>264</v>
      </c>
      <c r="H329" s="273">
        <v>171</v>
      </c>
      <c r="I329" s="273">
        <v>34</v>
      </c>
      <c r="J329" s="273">
        <v>229</v>
      </c>
      <c r="K329" s="273">
        <v>144</v>
      </c>
      <c r="L329" s="273">
        <v>2705</v>
      </c>
      <c r="M329" s="273">
        <v>694</v>
      </c>
      <c r="N329" s="273">
        <v>513</v>
      </c>
      <c r="O329" s="273">
        <v>178</v>
      </c>
      <c r="P329" s="273">
        <v>4261</v>
      </c>
      <c r="Q329" s="273">
        <v>0</v>
      </c>
      <c r="R329" s="273">
        <v>8</v>
      </c>
      <c r="S329" s="273">
        <v>666.91</v>
      </c>
      <c r="T329" s="273">
        <v>6.389167953696901</v>
      </c>
      <c r="U329" s="273">
        <v>0</v>
      </c>
      <c r="V329" s="273">
        <v>0</v>
      </c>
      <c r="W329" s="273">
        <v>1488</v>
      </c>
      <c r="X329" s="273">
        <v>314</v>
      </c>
      <c r="Y329" s="273">
        <v>30</v>
      </c>
      <c r="Z329" s="273">
        <v>0.8076866413525212</v>
      </c>
      <c r="AA329" s="273">
        <v>8</v>
      </c>
      <c r="AB329" s="273">
        <v>8</v>
      </c>
      <c r="AC329" s="273">
        <v>1.2146429237016747</v>
      </c>
      <c r="AD329" s="273">
        <v>231</v>
      </c>
      <c r="AE329" s="273">
        <v>20</v>
      </c>
      <c r="AF329" s="273">
        <v>3</v>
      </c>
      <c r="AG329" s="273">
        <v>1</v>
      </c>
      <c r="AH329" s="273">
        <v>255</v>
      </c>
      <c r="AI329" s="273">
        <v>1.189915559437166</v>
      </c>
      <c r="AJ329" s="273">
        <v>1713</v>
      </c>
      <c r="AK329" s="273">
        <v>165</v>
      </c>
      <c r="AL329" s="273">
        <v>1.0191142677177285</v>
      </c>
      <c r="AM329" s="273">
        <v>1.32418676458505</v>
      </c>
      <c r="AN329" s="273">
        <v>0</v>
      </c>
      <c r="AO329" s="273">
        <v>0</v>
      </c>
      <c r="AP329" s="273">
        <f t="shared" si="3"/>
        <v>0</v>
      </c>
      <c r="AQ329" s="273">
        <v>145472.55402242765</v>
      </c>
      <c r="AR329" s="273">
        <v>3356423.316052633</v>
      </c>
      <c r="AS329" s="273">
        <v>1</v>
      </c>
      <c r="AT329" s="273">
        <v>4261</v>
      </c>
      <c r="AU329" s="273">
        <v>0</v>
      </c>
      <c r="AV329" s="273">
        <v>0</v>
      </c>
      <c r="AW329" s="273">
        <v>0</v>
      </c>
      <c r="AX329" s="273">
        <v>0.4562</v>
      </c>
      <c r="AY329" s="273">
        <v>666.91</v>
      </c>
      <c r="AZ329" s="273">
        <v>6.389167953696901</v>
      </c>
      <c r="BA329" s="273">
        <v>2172</v>
      </c>
      <c r="BB329" s="273">
        <v>0.5097394977704764</v>
      </c>
      <c r="BC329" s="273">
        <v>0</v>
      </c>
      <c r="BD329" s="273">
        <v>0</v>
      </c>
      <c r="BE329" s="273">
        <v>4509</v>
      </c>
      <c r="BF329" s="273">
        <v>4261</v>
      </c>
      <c r="BG329" s="273">
        <v>-0.05500110889332446</v>
      </c>
      <c r="BH329" s="273">
        <v>0</v>
      </c>
      <c r="BI329" s="273">
        <v>1</v>
      </c>
      <c r="BJ329" s="273">
        <v>0.0002346866932644919</v>
      </c>
      <c r="BK329" s="273">
        <v>923329.7837253965</v>
      </c>
      <c r="BL329" s="273">
        <v>7109.89</v>
      </c>
    </row>
    <row r="330" spans="6:64" s="273" customFormat="1" ht="12.75">
      <c r="F330" s="273">
        <v>783</v>
      </c>
      <c r="G330" s="273" t="s">
        <v>265</v>
      </c>
      <c r="H330" s="273">
        <v>303</v>
      </c>
      <c r="I330" s="273">
        <v>45</v>
      </c>
      <c r="J330" s="273">
        <v>279</v>
      </c>
      <c r="K330" s="273">
        <v>144</v>
      </c>
      <c r="L330" s="273">
        <v>3275</v>
      </c>
      <c r="M330" s="273">
        <v>573</v>
      </c>
      <c r="N330" s="273">
        <v>390</v>
      </c>
      <c r="O330" s="273">
        <v>132</v>
      </c>
      <c r="P330" s="273">
        <v>4673</v>
      </c>
      <c r="Q330" s="273">
        <v>1</v>
      </c>
      <c r="R330" s="273">
        <v>6</v>
      </c>
      <c r="S330" s="273">
        <v>160.57</v>
      </c>
      <c r="T330" s="273">
        <v>29.102572086940278</v>
      </c>
      <c r="U330" s="273">
        <v>0</v>
      </c>
      <c r="V330" s="273">
        <v>0</v>
      </c>
      <c r="W330" s="273">
        <v>2143</v>
      </c>
      <c r="X330" s="273">
        <v>116</v>
      </c>
      <c r="Y330" s="273">
        <v>19</v>
      </c>
      <c r="Z330" s="273">
        <v>0.9843767423142854</v>
      </c>
      <c r="AA330" s="273">
        <v>3</v>
      </c>
      <c r="AB330" s="273">
        <v>2</v>
      </c>
      <c r="AC330" s="273">
        <v>0.2768881605977335</v>
      </c>
      <c r="AD330" s="273">
        <v>200</v>
      </c>
      <c r="AE330" s="273">
        <v>30</v>
      </c>
      <c r="AF330" s="273">
        <v>1</v>
      </c>
      <c r="AG330" s="273">
        <v>3</v>
      </c>
      <c r="AH330" s="273">
        <v>234</v>
      </c>
      <c r="AI330" s="273">
        <v>0.9956520071585645</v>
      </c>
      <c r="AJ330" s="273">
        <v>2277</v>
      </c>
      <c r="AK330" s="273">
        <v>124</v>
      </c>
      <c r="AL330" s="273">
        <v>0.5761757225335253</v>
      </c>
      <c r="AM330" s="273">
        <v>0.897839999598355</v>
      </c>
      <c r="AN330" s="273">
        <v>0</v>
      </c>
      <c r="AO330" s="273">
        <v>0</v>
      </c>
      <c r="AP330" s="273">
        <f aca="true" t="shared" si="4" ref="AP330:AP377">MAX(AN330,AO330)</f>
        <v>0</v>
      </c>
      <c r="AQ330" s="273">
        <v>-108254.23201110121</v>
      </c>
      <c r="AR330" s="273">
        <v>-474559.8616552999</v>
      </c>
      <c r="AS330" s="273">
        <v>0</v>
      </c>
      <c r="AT330" s="273">
        <v>4673</v>
      </c>
      <c r="AU330" s="273">
        <v>0</v>
      </c>
      <c r="AV330" s="273">
        <v>0</v>
      </c>
      <c r="AW330" s="273">
        <v>0</v>
      </c>
      <c r="AX330" s="273">
        <v>0</v>
      </c>
      <c r="AY330" s="273">
        <v>160.57</v>
      </c>
      <c r="AZ330" s="273">
        <v>29.102572086940278</v>
      </c>
      <c r="BA330" s="273">
        <v>3938</v>
      </c>
      <c r="BB330" s="273">
        <v>0.8427134603038733</v>
      </c>
      <c r="BC330" s="273">
        <v>0</v>
      </c>
      <c r="BD330" s="273">
        <v>0</v>
      </c>
      <c r="BE330" s="273">
        <v>4761</v>
      </c>
      <c r="BF330" s="273">
        <v>4673</v>
      </c>
      <c r="BG330" s="273">
        <v>-0.01848351186725478</v>
      </c>
      <c r="BH330" s="273">
        <v>0</v>
      </c>
      <c r="BI330" s="273">
        <v>0</v>
      </c>
      <c r="BJ330" s="273">
        <v>0</v>
      </c>
      <c r="BK330" s="273">
        <v>806646.673275022</v>
      </c>
      <c r="BL330" s="273">
        <v>6083.61</v>
      </c>
    </row>
    <row r="331" spans="6:64" s="273" customFormat="1" ht="12.75">
      <c r="F331" s="273">
        <v>831</v>
      </c>
      <c r="G331" s="273" t="s">
        <v>266</v>
      </c>
      <c r="H331" s="273">
        <v>363</v>
      </c>
      <c r="I331" s="273">
        <v>64</v>
      </c>
      <c r="J331" s="273">
        <v>385</v>
      </c>
      <c r="K331" s="273">
        <v>198</v>
      </c>
      <c r="L331" s="273">
        <v>3589</v>
      </c>
      <c r="M331" s="273">
        <v>510</v>
      </c>
      <c r="N331" s="273">
        <v>293</v>
      </c>
      <c r="O331" s="273">
        <v>100</v>
      </c>
      <c r="P331" s="273">
        <v>4855</v>
      </c>
      <c r="Q331" s="273">
        <v>0</v>
      </c>
      <c r="R331" s="273">
        <v>13</v>
      </c>
      <c r="S331" s="273">
        <v>345.1</v>
      </c>
      <c r="T331" s="273">
        <v>14.068385975079686</v>
      </c>
      <c r="U331" s="273">
        <v>1</v>
      </c>
      <c r="V331" s="273">
        <v>0</v>
      </c>
      <c r="W331" s="273">
        <v>2077</v>
      </c>
      <c r="X331" s="273">
        <v>105</v>
      </c>
      <c r="Y331" s="273">
        <v>25</v>
      </c>
      <c r="Z331" s="273">
        <v>0.9848027705124885</v>
      </c>
      <c r="AA331" s="273">
        <v>4</v>
      </c>
      <c r="AB331" s="273">
        <v>2</v>
      </c>
      <c r="AC331" s="273">
        <v>0.2665084190470049</v>
      </c>
      <c r="AD331" s="273">
        <v>184</v>
      </c>
      <c r="AE331" s="273">
        <v>39</v>
      </c>
      <c r="AF331" s="273">
        <v>13</v>
      </c>
      <c r="AG331" s="273">
        <v>1</v>
      </c>
      <c r="AH331" s="273">
        <v>237</v>
      </c>
      <c r="AI331" s="273">
        <v>0.9706141290414475</v>
      </c>
      <c r="AJ331" s="273">
        <v>2321</v>
      </c>
      <c r="AK331" s="273">
        <v>200</v>
      </c>
      <c r="AL331" s="273">
        <v>0.9116983226145831</v>
      </c>
      <c r="AM331" s="273">
        <v>0.655148044516063</v>
      </c>
      <c r="AN331" s="273">
        <v>0</v>
      </c>
      <c r="AO331" s="273">
        <v>0</v>
      </c>
      <c r="AP331" s="273">
        <f t="shared" si="4"/>
        <v>0</v>
      </c>
      <c r="AQ331" s="273">
        <v>49043.06950616464</v>
      </c>
      <c r="AR331" s="273">
        <v>168901.55606075792</v>
      </c>
      <c r="AS331" s="273">
        <v>1</v>
      </c>
      <c r="AT331" s="273">
        <v>4855</v>
      </c>
      <c r="AU331" s="273">
        <v>1</v>
      </c>
      <c r="AV331" s="273">
        <v>2105</v>
      </c>
      <c r="AW331" s="273">
        <v>0.43357363542739447</v>
      </c>
      <c r="AX331" s="273">
        <v>0</v>
      </c>
      <c r="AY331" s="273">
        <v>345.1</v>
      </c>
      <c r="AZ331" s="273">
        <v>14.068385975079686</v>
      </c>
      <c r="BA331" s="273">
        <v>2762</v>
      </c>
      <c r="BB331" s="273">
        <v>0.568898043254377</v>
      </c>
      <c r="BC331" s="273">
        <v>0</v>
      </c>
      <c r="BD331" s="273">
        <v>0</v>
      </c>
      <c r="BE331" s="273">
        <v>4914</v>
      </c>
      <c r="BF331" s="273">
        <v>4855</v>
      </c>
      <c r="BG331" s="273">
        <v>-0.012006512006512007</v>
      </c>
      <c r="BH331" s="273">
        <v>0</v>
      </c>
      <c r="BI331" s="273">
        <v>0</v>
      </c>
      <c r="BJ331" s="273">
        <v>0</v>
      </c>
      <c r="BK331" s="273">
        <v>618021.2726684072</v>
      </c>
      <c r="BL331" s="273">
        <v>6584.71</v>
      </c>
    </row>
    <row r="332" spans="6:64" s="273" customFormat="1" ht="12.75">
      <c r="F332" s="273">
        <v>832</v>
      </c>
      <c r="G332" s="273" t="s">
        <v>267</v>
      </c>
      <c r="H332" s="273">
        <v>328</v>
      </c>
      <c r="I332" s="273">
        <v>50</v>
      </c>
      <c r="J332" s="273">
        <v>286</v>
      </c>
      <c r="K332" s="273">
        <v>201</v>
      </c>
      <c r="L332" s="273">
        <v>3181</v>
      </c>
      <c r="M332" s="273">
        <v>518</v>
      </c>
      <c r="N332" s="273">
        <v>318</v>
      </c>
      <c r="O332" s="273">
        <v>77</v>
      </c>
      <c r="P332" s="273">
        <v>4422</v>
      </c>
      <c r="Q332" s="273">
        <v>0</v>
      </c>
      <c r="R332" s="273">
        <v>5</v>
      </c>
      <c r="S332" s="273">
        <v>2438.03</v>
      </c>
      <c r="T332" s="273">
        <v>1.813759469735811</v>
      </c>
      <c r="U332" s="273">
        <v>0</v>
      </c>
      <c r="V332" s="273">
        <v>0</v>
      </c>
      <c r="W332" s="273">
        <v>1386</v>
      </c>
      <c r="X332" s="273">
        <v>204</v>
      </c>
      <c r="Y332" s="273">
        <v>23</v>
      </c>
      <c r="Z332" s="273">
        <v>0.878496453157592</v>
      </c>
      <c r="AA332" s="273">
        <v>4</v>
      </c>
      <c r="AB332" s="273">
        <v>2</v>
      </c>
      <c r="AC332" s="273">
        <v>0.2926047884380843</v>
      </c>
      <c r="AD332" s="273">
        <v>302</v>
      </c>
      <c r="AE332" s="273">
        <v>30</v>
      </c>
      <c r="AF332" s="273">
        <v>2</v>
      </c>
      <c r="AG332" s="273">
        <v>2</v>
      </c>
      <c r="AH332" s="273">
        <v>336</v>
      </c>
      <c r="AI332" s="273">
        <v>1.5108036881403613</v>
      </c>
      <c r="AJ332" s="273">
        <v>1804</v>
      </c>
      <c r="AK332" s="273">
        <v>307</v>
      </c>
      <c r="AL332" s="273">
        <v>1.800520800122099</v>
      </c>
      <c r="AM332" s="273">
        <v>1.66883872059432</v>
      </c>
      <c r="AN332" s="273">
        <v>0.17</v>
      </c>
      <c r="AO332" s="273">
        <v>0</v>
      </c>
      <c r="AP332" s="273">
        <f t="shared" si="4"/>
        <v>0.17</v>
      </c>
      <c r="AQ332" s="273">
        <v>-89296.5146976132</v>
      </c>
      <c r="AR332" s="273">
        <v>3896766.6970531633</v>
      </c>
      <c r="AS332" s="273">
        <v>1</v>
      </c>
      <c r="AT332" s="273">
        <v>4422</v>
      </c>
      <c r="AU332" s="273">
        <v>0</v>
      </c>
      <c r="AV332" s="273">
        <v>0</v>
      </c>
      <c r="AW332" s="273">
        <v>0</v>
      </c>
      <c r="AX332" s="273">
        <v>1.58755</v>
      </c>
      <c r="AY332" s="273">
        <v>2438.03</v>
      </c>
      <c r="AZ332" s="273">
        <v>1.813759469735811</v>
      </c>
      <c r="BA332" s="273">
        <v>2029</v>
      </c>
      <c r="BB332" s="273">
        <v>0.45884215287200364</v>
      </c>
      <c r="BC332" s="273">
        <v>0</v>
      </c>
      <c r="BD332" s="273">
        <v>0</v>
      </c>
      <c r="BE332" s="273">
        <v>4546</v>
      </c>
      <c r="BF332" s="273">
        <v>4422</v>
      </c>
      <c r="BG332" s="273">
        <v>-0.027276726792784867</v>
      </c>
      <c r="BH332" s="273">
        <v>0</v>
      </c>
      <c r="BI332" s="273">
        <v>0</v>
      </c>
      <c r="BJ332" s="273">
        <v>0</v>
      </c>
      <c r="BK332" s="273">
        <v>855958.4374642693</v>
      </c>
      <c r="BL332" s="273">
        <v>8276.54</v>
      </c>
    </row>
    <row r="333" spans="6:64" s="273" customFormat="1" ht="12.75">
      <c r="F333" s="273">
        <v>833</v>
      </c>
      <c r="G333" s="273" t="s">
        <v>268</v>
      </c>
      <c r="H333" s="273">
        <v>105</v>
      </c>
      <c r="I333" s="273">
        <v>11</v>
      </c>
      <c r="J333" s="273">
        <v>74</v>
      </c>
      <c r="K333" s="273">
        <v>42</v>
      </c>
      <c r="L333" s="273">
        <v>1118</v>
      </c>
      <c r="M333" s="273">
        <v>228</v>
      </c>
      <c r="N333" s="273">
        <v>163</v>
      </c>
      <c r="O333" s="273">
        <v>76</v>
      </c>
      <c r="P333" s="273">
        <v>1690</v>
      </c>
      <c r="Q333" s="273">
        <v>1</v>
      </c>
      <c r="R333" s="273">
        <v>5</v>
      </c>
      <c r="S333" s="273">
        <v>140.31</v>
      </c>
      <c r="T333" s="273">
        <v>12.044758035777921</v>
      </c>
      <c r="U333" s="273">
        <v>1</v>
      </c>
      <c r="V333" s="273">
        <v>0</v>
      </c>
      <c r="W333" s="273">
        <v>690</v>
      </c>
      <c r="X333" s="273">
        <v>94</v>
      </c>
      <c r="Y333" s="273">
        <v>14</v>
      </c>
      <c r="Z333" s="273">
        <v>0.8861223705249126</v>
      </c>
      <c r="AA333" s="273">
        <v>3</v>
      </c>
      <c r="AB333" s="273">
        <v>2</v>
      </c>
      <c r="AC333" s="273">
        <v>0.7656203399249757</v>
      </c>
      <c r="AD333" s="273">
        <v>77</v>
      </c>
      <c r="AE333" s="273">
        <v>11</v>
      </c>
      <c r="AF333" s="273">
        <v>3</v>
      </c>
      <c r="AG333" s="273">
        <v>0</v>
      </c>
      <c r="AH333" s="273">
        <v>91</v>
      </c>
      <c r="AI333" s="273">
        <v>1.0706368443840828</v>
      </c>
      <c r="AJ333" s="273">
        <v>763</v>
      </c>
      <c r="AK333" s="273">
        <v>56</v>
      </c>
      <c r="AL333" s="273">
        <v>0.7765327731333752</v>
      </c>
      <c r="AM333" s="273">
        <v>1.16146402531327</v>
      </c>
      <c r="AN333" s="273">
        <v>0</v>
      </c>
      <c r="AO333" s="273">
        <v>0</v>
      </c>
      <c r="AP333" s="273">
        <f t="shared" si="4"/>
        <v>0</v>
      </c>
      <c r="AQ333" s="273">
        <v>52289.58244882431</v>
      </c>
      <c r="AR333" s="273">
        <v>1028935.5921849981</v>
      </c>
      <c r="AS333" s="273">
        <v>0</v>
      </c>
      <c r="AT333" s="273">
        <v>1690</v>
      </c>
      <c r="AU333" s="273">
        <v>1</v>
      </c>
      <c r="AV333" s="273">
        <v>169</v>
      </c>
      <c r="AW333" s="273">
        <v>0.1</v>
      </c>
      <c r="AX333" s="273">
        <v>0</v>
      </c>
      <c r="AY333" s="273">
        <v>140.31</v>
      </c>
      <c r="AZ333" s="273">
        <v>12.044758035777921</v>
      </c>
      <c r="BA333" s="273">
        <v>663</v>
      </c>
      <c r="BB333" s="273">
        <v>0.3923076923076923</v>
      </c>
      <c r="BC333" s="273">
        <v>0</v>
      </c>
      <c r="BD333" s="273">
        <v>0</v>
      </c>
      <c r="BE333" s="273">
        <v>1708</v>
      </c>
      <c r="BF333" s="273">
        <v>1690</v>
      </c>
      <c r="BG333" s="273">
        <v>-0.01053864168618267</v>
      </c>
      <c r="BH333" s="273">
        <v>0</v>
      </c>
      <c r="BI333" s="273">
        <v>0</v>
      </c>
      <c r="BJ333" s="273">
        <v>0</v>
      </c>
      <c r="BK333" s="273">
        <v>372713.88241600484</v>
      </c>
      <c r="BL333" s="273">
        <v>6720.85</v>
      </c>
    </row>
    <row r="334" spans="6:64" s="273" customFormat="1" ht="12.75">
      <c r="F334" s="273">
        <v>834</v>
      </c>
      <c r="G334" s="273" t="s">
        <v>269</v>
      </c>
      <c r="H334" s="273">
        <v>524</v>
      </c>
      <c r="I334" s="273">
        <v>78</v>
      </c>
      <c r="J334" s="273">
        <v>476</v>
      </c>
      <c r="K334" s="273">
        <v>250</v>
      </c>
      <c r="L334" s="273">
        <v>4683</v>
      </c>
      <c r="M334" s="273">
        <v>666</v>
      </c>
      <c r="N334" s="273">
        <v>478</v>
      </c>
      <c r="O334" s="273">
        <v>203</v>
      </c>
      <c r="P334" s="273">
        <v>6554</v>
      </c>
      <c r="Q334" s="273">
        <v>2</v>
      </c>
      <c r="R334" s="273">
        <v>1</v>
      </c>
      <c r="S334" s="273">
        <v>640.4</v>
      </c>
      <c r="T334" s="273">
        <v>10.23422860712055</v>
      </c>
      <c r="U334" s="273">
        <v>0</v>
      </c>
      <c r="V334" s="273">
        <v>0</v>
      </c>
      <c r="W334" s="273">
        <v>2750</v>
      </c>
      <c r="X334" s="273">
        <v>286</v>
      </c>
      <c r="Y334" s="273">
        <v>34</v>
      </c>
      <c r="Z334" s="273">
        <v>0.9283107645480294</v>
      </c>
      <c r="AA334" s="273">
        <v>7</v>
      </c>
      <c r="AB334" s="273">
        <v>7</v>
      </c>
      <c r="AC334" s="273">
        <v>0.6909741090412315</v>
      </c>
      <c r="AD334" s="273">
        <v>290</v>
      </c>
      <c r="AE334" s="273">
        <v>30</v>
      </c>
      <c r="AF334" s="273">
        <v>6</v>
      </c>
      <c r="AG334" s="273">
        <v>5</v>
      </c>
      <c r="AH334" s="273">
        <v>331</v>
      </c>
      <c r="AI334" s="273">
        <v>1.00417418836582</v>
      </c>
      <c r="AJ334" s="273">
        <v>3072</v>
      </c>
      <c r="AK334" s="273">
        <v>241</v>
      </c>
      <c r="AL334" s="273">
        <v>0.8300268317643485</v>
      </c>
      <c r="AM334" s="273">
        <v>0.81063794477193</v>
      </c>
      <c r="AN334" s="273">
        <v>0</v>
      </c>
      <c r="AO334" s="273">
        <v>0</v>
      </c>
      <c r="AP334" s="273">
        <f t="shared" si="4"/>
        <v>0</v>
      </c>
      <c r="AQ334" s="273">
        <v>-58251.34680543095</v>
      </c>
      <c r="AR334" s="273">
        <v>2630600.570691892</v>
      </c>
      <c r="AS334" s="273">
        <v>1</v>
      </c>
      <c r="AT334" s="273">
        <v>6554</v>
      </c>
      <c r="AU334" s="273">
        <v>0</v>
      </c>
      <c r="AV334" s="273">
        <v>0</v>
      </c>
      <c r="AW334" s="273">
        <v>0</v>
      </c>
      <c r="AX334" s="273">
        <v>0</v>
      </c>
      <c r="AY334" s="273">
        <v>640.4</v>
      </c>
      <c r="AZ334" s="273">
        <v>10.23422860712055</v>
      </c>
      <c r="BA334" s="273">
        <v>3040</v>
      </c>
      <c r="BB334" s="273">
        <v>0.46383887702166615</v>
      </c>
      <c r="BC334" s="273">
        <v>0</v>
      </c>
      <c r="BD334" s="273">
        <v>0</v>
      </c>
      <c r="BE334" s="273">
        <v>6617</v>
      </c>
      <c r="BF334" s="273">
        <v>6554</v>
      </c>
      <c r="BG334" s="273">
        <v>-0.009520930935469246</v>
      </c>
      <c r="BH334" s="273">
        <v>0</v>
      </c>
      <c r="BI334" s="273">
        <v>0</v>
      </c>
      <c r="BJ334" s="273">
        <v>0</v>
      </c>
      <c r="BK334" s="273">
        <v>1181749.9430461423</v>
      </c>
      <c r="BL334" s="273">
        <v>6776.59</v>
      </c>
    </row>
    <row r="335" spans="6:64" s="273" customFormat="1" ht="12.75">
      <c r="F335" s="273">
        <v>837</v>
      </c>
      <c r="G335" s="273" t="s">
        <v>270</v>
      </c>
      <c r="H335" s="273">
        <v>14959</v>
      </c>
      <c r="I335" s="273">
        <v>1924</v>
      </c>
      <c r="J335" s="273">
        <v>10407</v>
      </c>
      <c r="K335" s="273">
        <v>5621</v>
      </c>
      <c r="L335" s="273">
        <v>164082</v>
      </c>
      <c r="M335" s="273">
        <v>19472</v>
      </c>
      <c r="N335" s="273">
        <v>12149</v>
      </c>
      <c r="O335" s="273">
        <v>4506</v>
      </c>
      <c r="P335" s="273">
        <v>215168</v>
      </c>
      <c r="Q335" s="273">
        <v>125</v>
      </c>
      <c r="R335" s="273">
        <v>1278</v>
      </c>
      <c r="S335" s="273">
        <v>525.01</v>
      </c>
      <c r="T335" s="273">
        <v>409.83600312375</v>
      </c>
      <c r="U335" s="273">
        <v>0</v>
      </c>
      <c r="V335" s="273">
        <v>0</v>
      </c>
      <c r="W335" s="273">
        <v>91893</v>
      </c>
      <c r="X335" s="273">
        <v>351</v>
      </c>
      <c r="Y335" s="273">
        <v>1019</v>
      </c>
      <c r="Z335" s="273">
        <v>1.0348950628378824</v>
      </c>
      <c r="AA335" s="273">
        <v>352</v>
      </c>
      <c r="AB335" s="273">
        <v>352</v>
      </c>
      <c r="AC335" s="273">
        <v>1.0583642265917086</v>
      </c>
      <c r="AD335" s="273">
        <v>8376</v>
      </c>
      <c r="AE335" s="273">
        <v>1393</v>
      </c>
      <c r="AF335" s="273">
        <v>520</v>
      </c>
      <c r="AG335" s="273">
        <v>119</v>
      </c>
      <c r="AH335" s="273">
        <v>10408</v>
      </c>
      <c r="AI335" s="273">
        <v>0.9617830027337041</v>
      </c>
      <c r="AJ335" s="273">
        <v>108608</v>
      </c>
      <c r="AK335" s="273">
        <v>13786</v>
      </c>
      <c r="AL335" s="273">
        <v>1.3429899366706657</v>
      </c>
      <c r="AM335" s="273">
        <v>0.876352322483405</v>
      </c>
      <c r="AN335" s="273">
        <v>0</v>
      </c>
      <c r="AO335" s="273">
        <v>0</v>
      </c>
      <c r="AP335" s="273">
        <f t="shared" si="4"/>
        <v>0</v>
      </c>
      <c r="AQ335" s="273">
        <v>-219126.7658828497</v>
      </c>
      <c r="AR335" s="273">
        <v>-30967760.186906036</v>
      </c>
      <c r="AS335" s="273">
        <v>1</v>
      </c>
      <c r="AT335" s="273">
        <v>215168</v>
      </c>
      <c r="AU335" s="273">
        <v>0</v>
      </c>
      <c r="AV335" s="273">
        <v>0</v>
      </c>
      <c r="AW335" s="273">
        <v>0</v>
      </c>
      <c r="AX335" s="273">
        <v>0</v>
      </c>
      <c r="AY335" s="273">
        <v>525.01</v>
      </c>
      <c r="AZ335" s="273">
        <v>409.83600312375</v>
      </c>
      <c r="BA335" s="273">
        <v>208960</v>
      </c>
      <c r="BB335" s="273">
        <v>0.9711481261154075</v>
      </c>
      <c r="BC335" s="273">
        <v>0</v>
      </c>
      <c r="BD335" s="273">
        <v>0</v>
      </c>
      <c r="BE335" s="273">
        <v>209552</v>
      </c>
      <c r="BF335" s="273">
        <v>215168</v>
      </c>
      <c r="BG335" s="273">
        <v>0.026800030541345346</v>
      </c>
      <c r="BH335" s="273">
        <v>0</v>
      </c>
      <c r="BI335" s="273">
        <v>20</v>
      </c>
      <c r="BJ335" s="273">
        <v>9.29506246281975E-05</v>
      </c>
      <c r="BK335" s="273">
        <v>36858925.010279134</v>
      </c>
      <c r="BL335" s="273">
        <v>5951.16</v>
      </c>
    </row>
    <row r="336" spans="6:64" s="273" customFormat="1" ht="12.75">
      <c r="F336" s="273">
        <v>838</v>
      </c>
      <c r="G336" s="273" t="s">
        <v>271</v>
      </c>
      <c r="H336" s="273">
        <v>158</v>
      </c>
      <c r="I336" s="273">
        <v>26</v>
      </c>
      <c r="J336" s="273">
        <v>178</v>
      </c>
      <c r="K336" s="273">
        <v>92</v>
      </c>
      <c r="L336" s="273">
        <v>1426</v>
      </c>
      <c r="M336" s="273">
        <v>178</v>
      </c>
      <c r="N336" s="273">
        <v>111</v>
      </c>
      <c r="O336" s="273">
        <v>71</v>
      </c>
      <c r="P336" s="273">
        <v>1944</v>
      </c>
      <c r="Q336" s="273">
        <v>0</v>
      </c>
      <c r="R336" s="273">
        <v>3</v>
      </c>
      <c r="S336" s="273">
        <v>101.96</v>
      </c>
      <c r="T336" s="273">
        <v>19.066300510003924</v>
      </c>
      <c r="U336" s="273">
        <v>0</v>
      </c>
      <c r="V336" s="273">
        <v>0</v>
      </c>
      <c r="W336" s="273">
        <v>862</v>
      </c>
      <c r="X336" s="273">
        <v>71</v>
      </c>
      <c r="Y336" s="273">
        <v>7</v>
      </c>
      <c r="Z336" s="273">
        <v>0.955495406588922</v>
      </c>
      <c r="AA336" s="273">
        <v>1</v>
      </c>
      <c r="AB336" s="273">
        <v>2</v>
      </c>
      <c r="AC336" s="273">
        <v>0.6655855835767536</v>
      </c>
      <c r="AD336" s="273">
        <v>74</v>
      </c>
      <c r="AE336" s="273">
        <v>22</v>
      </c>
      <c r="AF336" s="273">
        <v>2</v>
      </c>
      <c r="AG336" s="273">
        <v>0</v>
      </c>
      <c r="AH336" s="273">
        <v>98</v>
      </c>
      <c r="AI336" s="273">
        <v>1.0023451938163739</v>
      </c>
      <c r="AJ336" s="273">
        <v>940</v>
      </c>
      <c r="AK336" s="273">
        <v>57</v>
      </c>
      <c r="AL336" s="273">
        <v>0.6415688988667101</v>
      </c>
      <c r="AM336" s="273">
        <v>0.681119719535483</v>
      </c>
      <c r="AN336" s="273">
        <v>0</v>
      </c>
      <c r="AO336" s="273">
        <v>0</v>
      </c>
      <c r="AP336" s="273">
        <f t="shared" si="4"/>
        <v>0</v>
      </c>
      <c r="AQ336" s="273">
        <v>-5061.59517441038</v>
      </c>
      <c r="AR336" s="273">
        <v>729056.6495714273</v>
      </c>
      <c r="AS336" s="273">
        <v>1</v>
      </c>
      <c r="AT336" s="273">
        <v>1944</v>
      </c>
      <c r="AU336" s="273">
        <v>0</v>
      </c>
      <c r="AV336" s="273">
        <v>0</v>
      </c>
      <c r="AW336" s="273">
        <v>0</v>
      </c>
      <c r="AX336" s="273">
        <v>0</v>
      </c>
      <c r="AY336" s="273">
        <v>101.96</v>
      </c>
      <c r="AZ336" s="273">
        <v>19.066300510003924</v>
      </c>
      <c r="BA336" s="273">
        <v>888</v>
      </c>
      <c r="BB336" s="273">
        <v>0.4567901234567901</v>
      </c>
      <c r="BC336" s="273">
        <v>0</v>
      </c>
      <c r="BD336" s="273">
        <v>0</v>
      </c>
      <c r="BE336" s="273">
        <v>1941</v>
      </c>
      <c r="BF336" s="273">
        <v>1944</v>
      </c>
      <c r="BG336" s="273">
        <v>0.0015455950540958269</v>
      </c>
      <c r="BH336" s="273">
        <v>0</v>
      </c>
      <c r="BI336" s="273">
        <v>0</v>
      </c>
      <c r="BJ336" s="273">
        <v>0</v>
      </c>
      <c r="BK336" s="273">
        <v>344503.3771606696</v>
      </c>
      <c r="BL336" s="273">
        <v>6365.57</v>
      </c>
    </row>
    <row r="337" spans="6:64" s="273" customFormat="1" ht="12.75">
      <c r="F337" s="273">
        <v>844</v>
      </c>
      <c r="G337" s="273" t="s">
        <v>272</v>
      </c>
      <c r="H337" s="273">
        <v>50</v>
      </c>
      <c r="I337" s="273">
        <v>7</v>
      </c>
      <c r="J337" s="273">
        <v>88</v>
      </c>
      <c r="K337" s="273">
        <v>57</v>
      </c>
      <c r="L337" s="273">
        <v>1164</v>
      </c>
      <c r="M337" s="273">
        <v>219</v>
      </c>
      <c r="N337" s="273">
        <v>204</v>
      </c>
      <c r="O337" s="273">
        <v>63</v>
      </c>
      <c r="P337" s="273">
        <v>1700</v>
      </c>
      <c r="Q337" s="273">
        <v>0</v>
      </c>
      <c r="R337" s="273">
        <v>2</v>
      </c>
      <c r="S337" s="273">
        <v>347.73</v>
      </c>
      <c r="T337" s="273">
        <v>4.888850544963046</v>
      </c>
      <c r="U337" s="273">
        <v>1</v>
      </c>
      <c r="V337" s="273">
        <v>0</v>
      </c>
      <c r="W337" s="273">
        <v>607</v>
      </c>
      <c r="X337" s="273">
        <v>119</v>
      </c>
      <c r="Y337" s="273">
        <v>9</v>
      </c>
      <c r="Z337" s="273">
        <v>0.8290230944880996</v>
      </c>
      <c r="AA337" s="273">
        <v>0</v>
      </c>
      <c r="AB337" s="273">
        <v>2</v>
      </c>
      <c r="AC337" s="273">
        <v>0.7611166908665934</v>
      </c>
      <c r="AD337" s="273">
        <v>163</v>
      </c>
      <c r="AE337" s="273">
        <v>5</v>
      </c>
      <c r="AF337" s="273">
        <v>1</v>
      </c>
      <c r="AG337" s="273">
        <v>5</v>
      </c>
      <c r="AH337" s="273">
        <v>174</v>
      </c>
      <c r="AI337" s="273">
        <v>2.035109699156971</v>
      </c>
      <c r="AJ337" s="273">
        <v>718</v>
      </c>
      <c r="AK337" s="273">
        <v>68</v>
      </c>
      <c r="AL337" s="273">
        <v>1.0020301034931367</v>
      </c>
      <c r="AM337" s="273">
        <v>1.69656363031484</v>
      </c>
      <c r="AN337" s="273">
        <v>0.05</v>
      </c>
      <c r="AO337" s="273">
        <v>0</v>
      </c>
      <c r="AP337" s="273">
        <f t="shared" si="4"/>
        <v>0.05</v>
      </c>
      <c r="AQ337" s="273">
        <v>18330.843079575337</v>
      </c>
      <c r="AR337" s="273">
        <v>1705323.2360151897</v>
      </c>
      <c r="AS337" s="273">
        <v>0</v>
      </c>
      <c r="AT337" s="273">
        <v>1700</v>
      </c>
      <c r="AU337" s="273">
        <v>1</v>
      </c>
      <c r="AV337" s="273">
        <v>191</v>
      </c>
      <c r="AW337" s="273">
        <v>0.11235294117647059</v>
      </c>
      <c r="AX337" s="273">
        <v>0.501</v>
      </c>
      <c r="AY337" s="273">
        <v>347.73</v>
      </c>
      <c r="AZ337" s="273">
        <v>4.888850544963046</v>
      </c>
      <c r="BA337" s="273">
        <v>589</v>
      </c>
      <c r="BB337" s="273">
        <v>0.34647058823529414</v>
      </c>
      <c r="BC337" s="273">
        <v>0</v>
      </c>
      <c r="BD337" s="273">
        <v>0</v>
      </c>
      <c r="BE337" s="273">
        <v>1750</v>
      </c>
      <c r="BF337" s="273">
        <v>1700</v>
      </c>
      <c r="BG337" s="273">
        <v>-0.02857142857142857</v>
      </c>
      <c r="BH337" s="273">
        <v>0</v>
      </c>
      <c r="BI337" s="273">
        <v>0</v>
      </c>
      <c r="BJ337" s="273">
        <v>0</v>
      </c>
      <c r="BK337" s="273">
        <v>426363.6751308601</v>
      </c>
      <c r="BL337" s="273">
        <v>7277.18</v>
      </c>
    </row>
    <row r="338" spans="6:64" s="273" customFormat="1" ht="12.75">
      <c r="F338" s="273">
        <v>845</v>
      </c>
      <c r="G338" s="273" t="s">
        <v>273</v>
      </c>
      <c r="H338" s="273">
        <v>214</v>
      </c>
      <c r="I338" s="273">
        <v>29</v>
      </c>
      <c r="J338" s="273">
        <v>228</v>
      </c>
      <c r="K338" s="273">
        <v>138</v>
      </c>
      <c r="L338" s="273">
        <v>2257</v>
      </c>
      <c r="M338" s="273">
        <v>453</v>
      </c>
      <c r="N338" s="273">
        <v>345</v>
      </c>
      <c r="O338" s="273">
        <v>118</v>
      </c>
      <c r="P338" s="273">
        <v>3387</v>
      </c>
      <c r="Q338" s="273">
        <v>1</v>
      </c>
      <c r="R338" s="273">
        <v>1</v>
      </c>
      <c r="S338" s="273">
        <v>1561.73</v>
      </c>
      <c r="T338" s="273">
        <v>2.1687487593886265</v>
      </c>
      <c r="U338" s="273">
        <v>0</v>
      </c>
      <c r="V338" s="273">
        <v>0</v>
      </c>
      <c r="W338" s="273">
        <v>1130</v>
      </c>
      <c r="X338" s="273">
        <v>167</v>
      </c>
      <c r="Y338" s="273">
        <v>12</v>
      </c>
      <c r="Z338" s="273">
        <v>0.8841417120012505</v>
      </c>
      <c r="AA338" s="273">
        <v>0</v>
      </c>
      <c r="AB338" s="273">
        <v>2</v>
      </c>
      <c r="AC338" s="273">
        <v>0.38201900633989044</v>
      </c>
      <c r="AD338" s="273">
        <v>268</v>
      </c>
      <c r="AE338" s="273">
        <v>25</v>
      </c>
      <c r="AF338" s="273">
        <v>2</v>
      </c>
      <c r="AG338" s="273">
        <v>1</v>
      </c>
      <c r="AH338" s="273">
        <v>296</v>
      </c>
      <c r="AI338" s="273">
        <v>1.737656829554157</v>
      </c>
      <c r="AJ338" s="273">
        <v>1347</v>
      </c>
      <c r="AK338" s="273">
        <v>149</v>
      </c>
      <c r="AL338" s="273">
        <v>1.1703478812601287</v>
      </c>
      <c r="AM338" s="273">
        <v>1.18018157842969</v>
      </c>
      <c r="AN338" s="273">
        <v>0.05</v>
      </c>
      <c r="AO338" s="273">
        <v>0</v>
      </c>
      <c r="AP338" s="273">
        <f t="shared" si="4"/>
        <v>0.05</v>
      </c>
      <c r="AQ338" s="273">
        <v>88313.80101642758</v>
      </c>
      <c r="AR338" s="273">
        <v>2380723.6070461506</v>
      </c>
      <c r="AS338" s="273">
        <v>0</v>
      </c>
      <c r="AT338" s="273">
        <v>3387</v>
      </c>
      <c r="AU338" s="273">
        <v>0</v>
      </c>
      <c r="AV338" s="273">
        <v>0</v>
      </c>
      <c r="AW338" s="273">
        <v>0</v>
      </c>
      <c r="AX338" s="273">
        <v>0.6808666666666666</v>
      </c>
      <c r="AY338" s="273">
        <v>1561.73</v>
      </c>
      <c r="AZ338" s="273">
        <v>2.1687487593886265</v>
      </c>
      <c r="BA338" s="273">
        <v>1333</v>
      </c>
      <c r="BB338" s="273">
        <v>0.3935636256273989</v>
      </c>
      <c r="BC338" s="273">
        <v>0</v>
      </c>
      <c r="BD338" s="273">
        <v>0</v>
      </c>
      <c r="BE338" s="273">
        <v>3476</v>
      </c>
      <c r="BF338" s="273">
        <v>3387</v>
      </c>
      <c r="BG338" s="273">
        <v>-0.025604142692750288</v>
      </c>
      <c r="BH338" s="273">
        <v>0</v>
      </c>
      <c r="BI338" s="273">
        <v>0</v>
      </c>
      <c r="BJ338" s="273">
        <v>0</v>
      </c>
      <c r="BK338" s="273">
        <v>756803.9260391041</v>
      </c>
      <c r="BL338" s="273">
        <v>8145.86</v>
      </c>
    </row>
    <row r="339" spans="6:64" s="273" customFormat="1" ht="12.75">
      <c r="F339" s="273">
        <v>846</v>
      </c>
      <c r="G339" s="273" t="s">
        <v>274</v>
      </c>
      <c r="H339" s="273">
        <v>368</v>
      </c>
      <c r="I339" s="273">
        <v>48</v>
      </c>
      <c r="J339" s="273">
        <v>377</v>
      </c>
      <c r="K339" s="273">
        <v>203</v>
      </c>
      <c r="L339" s="273">
        <v>3901</v>
      </c>
      <c r="M339" s="273">
        <v>743</v>
      </c>
      <c r="N339" s="273">
        <v>576</v>
      </c>
      <c r="O339" s="273">
        <v>259</v>
      </c>
      <c r="P339" s="273">
        <v>5847</v>
      </c>
      <c r="Q339" s="273">
        <v>8</v>
      </c>
      <c r="R339" s="273">
        <v>6</v>
      </c>
      <c r="S339" s="273">
        <v>554.66</v>
      </c>
      <c r="T339" s="273">
        <v>10.541593047993366</v>
      </c>
      <c r="U339" s="273">
        <v>0</v>
      </c>
      <c r="V339" s="273">
        <v>0</v>
      </c>
      <c r="W339" s="273">
        <v>2246</v>
      </c>
      <c r="X339" s="273">
        <v>323</v>
      </c>
      <c r="Y339" s="273">
        <v>35</v>
      </c>
      <c r="Z339" s="273">
        <v>0.8831043921765569</v>
      </c>
      <c r="AA339" s="273">
        <v>2</v>
      </c>
      <c r="AB339" s="273">
        <v>2</v>
      </c>
      <c r="AC339" s="273">
        <v>0.22129269274383598</v>
      </c>
      <c r="AD339" s="273">
        <v>443</v>
      </c>
      <c r="AE339" s="273">
        <v>38</v>
      </c>
      <c r="AF339" s="273">
        <v>13</v>
      </c>
      <c r="AG339" s="273">
        <v>0</v>
      </c>
      <c r="AH339" s="273">
        <v>494</v>
      </c>
      <c r="AI339" s="273">
        <v>1.6798919628221016</v>
      </c>
      <c r="AJ339" s="273">
        <v>2573</v>
      </c>
      <c r="AK339" s="273">
        <v>206</v>
      </c>
      <c r="AL339" s="273">
        <v>0.8470786478787798</v>
      </c>
      <c r="AM339" s="273">
        <v>1.1069785567785</v>
      </c>
      <c r="AN339" s="273">
        <v>0</v>
      </c>
      <c r="AO339" s="273">
        <v>0</v>
      </c>
      <c r="AP339" s="273">
        <f t="shared" si="4"/>
        <v>0</v>
      </c>
      <c r="AQ339" s="273">
        <v>62084.1270564124</v>
      </c>
      <c r="AR339" s="273">
        <v>4215153.311482924</v>
      </c>
      <c r="AS339" s="273">
        <v>1</v>
      </c>
      <c r="AT339" s="273">
        <v>5847</v>
      </c>
      <c r="AU339" s="273">
        <v>0</v>
      </c>
      <c r="AV339" s="273">
        <v>0</v>
      </c>
      <c r="AW339" s="273">
        <v>0</v>
      </c>
      <c r="AX339" s="273">
        <v>0</v>
      </c>
      <c r="AY339" s="273">
        <v>554.66</v>
      </c>
      <c r="AZ339" s="273">
        <v>10.541593047993366</v>
      </c>
      <c r="BA339" s="273">
        <v>3907</v>
      </c>
      <c r="BB339" s="273">
        <v>0.668205917564563</v>
      </c>
      <c r="BC339" s="273">
        <v>0</v>
      </c>
      <c r="BD339" s="273">
        <v>0</v>
      </c>
      <c r="BE339" s="273">
        <v>6077</v>
      </c>
      <c r="BF339" s="273">
        <v>5847</v>
      </c>
      <c r="BG339" s="273">
        <v>-0.0378476221819977</v>
      </c>
      <c r="BH339" s="273">
        <v>0</v>
      </c>
      <c r="BI339" s="273">
        <v>0</v>
      </c>
      <c r="BJ339" s="273">
        <v>0</v>
      </c>
      <c r="BK339" s="273">
        <v>1142549.8781575086</v>
      </c>
      <c r="BL339" s="273">
        <v>6775.92</v>
      </c>
    </row>
    <row r="340" spans="6:64" s="273" customFormat="1" ht="12.75">
      <c r="F340" s="273">
        <v>848</v>
      </c>
      <c r="G340" s="273" t="s">
        <v>275</v>
      </c>
      <c r="H340" s="273">
        <v>278</v>
      </c>
      <c r="I340" s="273">
        <v>48</v>
      </c>
      <c r="J340" s="273">
        <v>313</v>
      </c>
      <c r="K340" s="273">
        <v>161</v>
      </c>
      <c r="L340" s="273">
        <v>3479</v>
      </c>
      <c r="M340" s="273">
        <v>681</v>
      </c>
      <c r="N340" s="273">
        <v>403</v>
      </c>
      <c r="O340" s="273">
        <v>151</v>
      </c>
      <c r="P340" s="273">
        <v>4992</v>
      </c>
      <c r="Q340" s="273">
        <v>2</v>
      </c>
      <c r="R340" s="273">
        <v>20</v>
      </c>
      <c r="S340" s="273">
        <v>837.73</v>
      </c>
      <c r="T340" s="273">
        <v>5.95896052427393</v>
      </c>
      <c r="U340" s="273">
        <v>0</v>
      </c>
      <c r="V340" s="273">
        <v>0</v>
      </c>
      <c r="W340" s="273">
        <v>1743</v>
      </c>
      <c r="X340" s="273">
        <v>318</v>
      </c>
      <c r="Y340" s="273">
        <v>32</v>
      </c>
      <c r="Z340" s="273">
        <v>0.8396021384284612</v>
      </c>
      <c r="AA340" s="273">
        <v>10</v>
      </c>
      <c r="AB340" s="273">
        <v>10</v>
      </c>
      <c r="AC340" s="273">
        <v>1.2959719295605054</v>
      </c>
      <c r="AD340" s="273">
        <v>328</v>
      </c>
      <c r="AE340" s="273">
        <v>19</v>
      </c>
      <c r="AF340" s="273">
        <v>10</v>
      </c>
      <c r="AG340" s="273">
        <v>0</v>
      </c>
      <c r="AH340" s="273">
        <v>357</v>
      </c>
      <c r="AI340" s="273">
        <v>1.42193955894761</v>
      </c>
      <c r="AJ340" s="273">
        <v>2129</v>
      </c>
      <c r="AK340" s="273">
        <v>313</v>
      </c>
      <c r="AL340" s="273">
        <v>1.555481952852945</v>
      </c>
      <c r="AM340" s="273">
        <v>1.20122254328335</v>
      </c>
      <c r="AN340" s="273">
        <v>0</v>
      </c>
      <c r="AO340" s="273">
        <v>0</v>
      </c>
      <c r="AP340" s="273">
        <f t="shared" si="4"/>
        <v>0</v>
      </c>
      <c r="AQ340" s="273">
        <v>146059.5290362984</v>
      </c>
      <c r="AR340" s="273">
        <v>4039393.68176279</v>
      </c>
      <c r="AS340" s="273">
        <v>1</v>
      </c>
      <c r="AT340" s="273">
        <v>4992</v>
      </c>
      <c r="AU340" s="273">
        <v>0</v>
      </c>
      <c r="AV340" s="273">
        <v>0</v>
      </c>
      <c r="AW340" s="273">
        <v>0</v>
      </c>
      <c r="AX340" s="273">
        <v>0.13425</v>
      </c>
      <c r="AY340" s="273">
        <v>837.73</v>
      </c>
      <c r="AZ340" s="273">
        <v>5.95896052427393</v>
      </c>
      <c r="BA340" s="273">
        <v>1602</v>
      </c>
      <c r="BB340" s="273">
        <v>0.32091346153846156</v>
      </c>
      <c r="BC340" s="273">
        <v>0</v>
      </c>
      <c r="BD340" s="273">
        <v>0</v>
      </c>
      <c r="BE340" s="273">
        <v>5161</v>
      </c>
      <c r="BF340" s="273">
        <v>4992</v>
      </c>
      <c r="BG340" s="273">
        <v>-0.0327455919395466</v>
      </c>
      <c r="BH340" s="273">
        <v>0</v>
      </c>
      <c r="BI340" s="273">
        <v>1</v>
      </c>
      <c r="BJ340" s="273">
        <v>0.00020032051282051281</v>
      </c>
      <c r="BK340" s="273">
        <v>1370579.3908649296</v>
      </c>
      <c r="BL340" s="273">
        <v>7195.34</v>
      </c>
    </row>
    <row r="341" spans="6:64" s="273" customFormat="1" ht="12.75">
      <c r="F341" s="273">
        <v>849</v>
      </c>
      <c r="G341" s="273" t="s">
        <v>276</v>
      </c>
      <c r="H341" s="273">
        <v>326</v>
      </c>
      <c r="I341" s="273">
        <v>52</v>
      </c>
      <c r="J341" s="273">
        <v>273</v>
      </c>
      <c r="K341" s="273">
        <v>129</v>
      </c>
      <c r="L341" s="273">
        <v>2443</v>
      </c>
      <c r="M341" s="273">
        <v>373</v>
      </c>
      <c r="N341" s="273">
        <v>247</v>
      </c>
      <c r="O341" s="273">
        <v>96</v>
      </c>
      <c r="P341" s="273">
        <v>3485</v>
      </c>
      <c r="Q341" s="273">
        <v>0</v>
      </c>
      <c r="R341" s="273">
        <v>2</v>
      </c>
      <c r="S341" s="273">
        <v>608.43</v>
      </c>
      <c r="T341" s="273">
        <v>5.727856943280246</v>
      </c>
      <c r="U341" s="273">
        <v>0</v>
      </c>
      <c r="V341" s="273">
        <v>0</v>
      </c>
      <c r="W341" s="273">
        <v>1414</v>
      </c>
      <c r="X341" s="273">
        <v>341</v>
      </c>
      <c r="Y341" s="273">
        <v>13</v>
      </c>
      <c r="Z341" s="273">
        <v>0.7875466029468704</v>
      </c>
      <c r="AA341" s="273">
        <v>0</v>
      </c>
      <c r="AB341" s="273">
        <v>2</v>
      </c>
      <c r="AC341" s="273">
        <v>0.37127643456906995</v>
      </c>
      <c r="AD341" s="273">
        <v>202</v>
      </c>
      <c r="AE341" s="273">
        <v>28</v>
      </c>
      <c r="AF341" s="273">
        <v>2</v>
      </c>
      <c r="AG341" s="273">
        <v>0</v>
      </c>
      <c r="AH341" s="273">
        <v>232</v>
      </c>
      <c r="AI341" s="273">
        <v>1.323648584817542</v>
      </c>
      <c r="AJ341" s="273">
        <v>1521</v>
      </c>
      <c r="AK341" s="273">
        <v>82</v>
      </c>
      <c r="AL341" s="273">
        <v>0.5704018677076025</v>
      </c>
      <c r="AM341" s="273">
        <v>1.14553913287314</v>
      </c>
      <c r="AN341" s="273">
        <v>0</v>
      </c>
      <c r="AO341" s="273">
        <v>0</v>
      </c>
      <c r="AP341" s="273">
        <f t="shared" si="4"/>
        <v>0</v>
      </c>
      <c r="AQ341" s="273">
        <v>23437.54527264461</v>
      </c>
      <c r="AR341" s="273">
        <v>2407788.901824999</v>
      </c>
      <c r="AS341" s="273">
        <v>1</v>
      </c>
      <c r="AT341" s="273">
        <v>3485</v>
      </c>
      <c r="AU341" s="273">
        <v>0</v>
      </c>
      <c r="AV341" s="273">
        <v>0</v>
      </c>
      <c r="AW341" s="273">
        <v>0</v>
      </c>
      <c r="AX341" s="273">
        <v>0.07873333333333334</v>
      </c>
      <c r="AY341" s="273">
        <v>608.43</v>
      </c>
      <c r="AZ341" s="273">
        <v>5.727856943280246</v>
      </c>
      <c r="BA341" s="273">
        <v>1653</v>
      </c>
      <c r="BB341" s="273">
        <v>0.47431850789096125</v>
      </c>
      <c r="BC341" s="273">
        <v>0</v>
      </c>
      <c r="BD341" s="273">
        <v>0</v>
      </c>
      <c r="BE341" s="273">
        <v>3536</v>
      </c>
      <c r="BF341" s="273">
        <v>3485</v>
      </c>
      <c r="BG341" s="273">
        <v>-0.014423076923076924</v>
      </c>
      <c r="BH341" s="273">
        <v>0</v>
      </c>
      <c r="BI341" s="273">
        <v>0</v>
      </c>
      <c r="BJ341" s="273">
        <v>0</v>
      </c>
      <c r="BK341" s="273">
        <v>649252.5740610667</v>
      </c>
      <c r="BL341" s="273">
        <v>7177.8</v>
      </c>
    </row>
    <row r="342" spans="6:64" s="273" customFormat="1" ht="12.75">
      <c r="F342" s="273">
        <v>850</v>
      </c>
      <c r="G342" s="273" t="s">
        <v>277</v>
      </c>
      <c r="H342" s="273">
        <v>244</v>
      </c>
      <c r="I342" s="273">
        <v>32</v>
      </c>
      <c r="J342" s="273">
        <v>175</v>
      </c>
      <c r="K342" s="273">
        <v>69</v>
      </c>
      <c r="L342" s="273">
        <v>1692</v>
      </c>
      <c r="M342" s="273">
        <v>296</v>
      </c>
      <c r="N342" s="273">
        <v>180</v>
      </c>
      <c r="O342" s="273">
        <v>63</v>
      </c>
      <c r="P342" s="273">
        <v>2475</v>
      </c>
      <c r="Q342" s="273">
        <v>0</v>
      </c>
      <c r="R342" s="273">
        <v>2</v>
      </c>
      <c r="S342" s="273">
        <v>361.49</v>
      </c>
      <c r="T342" s="273">
        <v>6.846662424963346</v>
      </c>
      <c r="U342" s="273">
        <v>0</v>
      </c>
      <c r="V342" s="273">
        <v>0</v>
      </c>
      <c r="W342" s="273">
        <v>916</v>
      </c>
      <c r="X342" s="273">
        <v>69</v>
      </c>
      <c r="Y342" s="273">
        <v>10</v>
      </c>
      <c r="Z342" s="273">
        <v>0.959952604048029</v>
      </c>
      <c r="AA342" s="273">
        <v>2</v>
      </c>
      <c r="AB342" s="273">
        <v>2</v>
      </c>
      <c r="AC342" s="273">
        <v>0.5227872220093773</v>
      </c>
      <c r="AD342" s="273">
        <v>121</v>
      </c>
      <c r="AE342" s="273">
        <v>28</v>
      </c>
      <c r="AF342" s="273">
        <v>5</v>
      </c>
      <c r="AG342" s="273">
        <v>1</v>
      </c>
      <c r="AH342" s="273">
        <v>155</v>
      </c>
      <c r="AI342" s="273">
        <v>1.2452139921696548</v>
      </c>
      <c r="AJ342" s="273">
        <v>1058</v>
      </c>
      <c r="AK342" s="273">
        <v>128</v>
      </c>
      <c r="AL342" s="273">
        <v>1.280031338700006</v>
      </c>
      <c r="AM342" s="273">
        <v>0.885516330122431</v>
      </c>
      <c r="AN342" s="273">
        <v>0</v>
      </c>
      <c r="AO342" s="273">
        <v>0</v>
      </c>
      <c r="AP342" s="273">
        <f t="shared" si="4"/>
        <v>0</v>
      </c>
      <c r="AQ342" s="273">
        <v>129204.97141114902</v>
      </c>
      <c r="AR342" s="273">
        <v>1570006.9688731695</v>
      </c>
      <c r="AS342" s="273">
        <v>1</v>
      </c>
      <c r="AT342" s="273">
        <v>2475</v>
      </c>
      <c r="AU342" s="273">
        <v>0</v>
      </c>
      <c r="AV342" s="273">
        <v>0</v>
      </c>
      <c r="AW342" s="273">
        <v>0</v>
      </c>
      <c r="AX342" s="273">
        <v>0</v>
      </c>
      <c r="AY342" s="273">
        <v>361.49</v>
      </c>
      <c r="AZ342" s="273">
        <v>6.846662424963346</v>
      </c>
      <c r="BA342" s="273">
        <v>1002</v>
      </c>
      <c r="BB342" s="273">
        <v>0.40484848484848485</v>
      </c>
      <c r="BC342" s="273">
        <v>0</v>
      </c>
      <c r="BD342" s="273">
        <v>0</v>
      </c>
      <c r="BE342" s="273">
        <v>2367</v>
      </c>
      <c r="BF342" s="273">
        <v>2475</v>
      </c>
      <c r="BG342" s="273">
        <v>0.045627376425855515</v>
      </c>
      <c r="BH342" s="273">
        <v>0</v>
      </c>
      <c r="BI342" s="273">
        <v>0</v>
      </c>
      <c r="BJ342" s="273">
        <v>0</v>
      </c>
      <c r="BK342" s="273">
        <v>488855.284361347</v>
      </c>
      <c r="BL342" s="273">
        <v>7067.25</v>
      </c>
    </row>
    <row r="343" spans="6:64" s="273" customFormat="1" ht="12.75">
      <c r="F343" s="273">
        <v>851</v>
      </c>
      <c r="G343" s="273" t="s">
        <v>278</v>
      </c>
      <c r="H343" s="273">
        <v>1900</v>
      </c>
      <c r="I343" s="273">
        <v>278</v>
      </c>
      <c r="J343" s="273">
        <v>1660</v>
      </c>
      <c r="K343" s="273">
        <v>852</v>
      </c>
      <c r="L343" s="273">
        <v>16948</v>
      </c>
      <c r="M343" s="273">
        <v>1984</v>
      </c>
      <c r="N343" s="273">
        <v>1235</v>
      </c>
      <c r="O343" s="273">
        <v>478</v>
      </c>
      <c r="P343" s="273">
        <v>22545</v>
      </c>
      <c r="Q343" s="273">
        <v>6</v>
      </c>
      <c r="R343" s="273">
        <v>50</v>
      </c>
      <c r="S343" s="273">
        <v>1186.97</v>
      </c>
      <c r="T343" s="273">
        <v>18.993740364120406</v>
      </c>
      <c r="U343" s="273">
        <v>0</v>
      </c>
      <c r="V343" s="273">
        <v>0</v>
      </c>
      <c r="W343" s="273">
        <v>8816</v>
      </c>
      <c r="X343" s="273">
        <v>258</v>
      </c>
      <c r="Y343" s="273">
        <v>216</v>
      </c>
      <c r="Z343" s="273">
        <v>0.994073303594758</v>
      </c>
      <c r="AA343" s="273">
        <v>41</v>
      </c>
      <c r="AB343" s="273">
        <v>41</v>
      </c>
      <c r="AC343" s="273">
        <v>1.176532121388369</v>
      </c>
      <c r="AD343" s="273">
        <v>1025</v>
      </c>
      <c r="AE343" s="273">
        <v>167</v>
      </c>
      <c r="AF343" s="273">
        <v>48</v>
      </c>
      <c r="AG343" s="273">
        <v>1</v>
      </c>
      <c r="AH343" s="273">
        <v>1241</v>
      </c>
      <c r="AI343" s="273">
        <v>1.094483047267269</v>
      </c>
      <c r="AJ343" s="273">
        <v>10356</v>
      </c>
      <c r="AK343" s="273">
        <v>1198</v>
      </c>
      <c r="AL343" s="273">
        <v>1.2239426731037852</v>
      </c>
      <c r="AM343" s="273">
        <v>1.09867978944372</v>
      </c>
      <c r="AN343" s="273">
        <v>0</v>
      </c>
      <c r="AO343" s="273">
        <v>0</v>
      </c>
      <c r="AP343" s="273">
        <f t="shared" si="4"/>
        <v>0</v>
      </c>
      <c r="AQ343" s="273">
        <v>-580763.6914084479</v>
      </c>
      <c r="AR343" s="273">
        <v>4922987.364214991</v>
      </c>
      <c r="AS343" s="273">
        <v>1</v>
      </c>
      <c r="AT343" s="273">
        <v>22545</v>
      </c>
      <c r="AU343" s="273">
        <v>0</v>
      </c>
      <c r="AV343" s="273">
        <v>0</v>
      </c>
      <c r="AW343" s="273">
        <v>0</v>
      </c>
      <c r="AX343" s="273">
        <v>0.00655</v>
      </c>
      <c r="AY343" s="273">
        <v>1186.97</v>
      </c>
      <c r="AZ343" s="273">
        <v>18.993740364120406</v>
      </c>
      <c r="BA343" s="273">
        <v>18942</v>
      </c>
      <c r="BB343" s="273">
        <v>0.8401862940785096</v>
      </c>
      <c r="BC343" s="273">
        <v>0</v>
      </c>
      <c r="BD343" s="273">
        <v>0</v>
      </c>
      <c r="BE343" s="273">
        <v>22487</v>
      </c>
      <c r="BF343" s="273">
        <v>22545</v>
      </c>
      <c r="BG343" s="273">
        <v>0.002579268021523547</v>
      </c>
      <c r="BH343" s="273">
        <v>0</v>
      </c>
      <c r="BI343" s="273">
        <v>9</v>
      </c>
      <c r="BJ343" s="273">
        <v>0.0003992015968063872</v>
      </c>
      <c r="BK343" s="273">
        <v>3483121.9825840374</v>
      </c>
      <c r="BL343" s="273">
        <v>6379.77</v>
      </c>
    </row>
    <row r="344" spans="6:64" s="273" customFormat="1" ht="12.75">
      <c r="F344" s="273">
        <v>853</v>
      </c>
      <c r="G344" s="273" t="s">
        <v>279</v>
      </c>
      <c r="H344" s="273">
        <v>11523</v>
      </c>
      <c r="I344" s="273">
        <v>1438</v>
      </c>
      <c r="J344" s="273">
        <v>8573</v>
      </c>
      <c r="K344" s="273">
        <v>4525</v>
      </c>
      <c r="L344" s="273">
        <v>133817</v>
      </c>
      <c r="M344" s="273">
        <v>17444</v>
      </c>
      <c r="N344" s="273">
        <v>11208</v>
      </c>
      <c r="O344" s="273">
        <v>4638</v>
      </c>
      <c r="P344" s="273">
        <v>178630</v>
      </c>
      <c r="Q344" s="273">
        <v>874</v>
      </c>
      <c r="R344" s="273">
        <v>1774</v>
      </c>
      <c r="S344" s="273">
        <v>245.66</v>
      </c>
      <c r="T344" s="273">
        <v>727.1432060571522</v>
      </c>
      <c r="U344" s="273">
        <v>0</v>
      </c>
      <c r="V344" s="273">
        <v>1</v>
      </c>
      <c r="W344" s="273">
        <v>76024</v>
      </c>
      <c r="X344" s="273">
        <v>367</v>
      </c>
      <c r="Y344" s="273">
        <v>789</v>
      </c>
      <c r="Z344" s="273">
        <v>1.0345829624330247</v>
      </c>
      <c r="AA344" s="273">
        <v>293</v>
      </c>
      <c r="AB344" s="273">
        <v>293</v>
      </c>
      <c r="AC344" s="273">
        <v>1.0611661639160561</v>
      </c>
      <c r="AD344" s="273">
        <v>7962</v>
      </c>
      <c r="AE344" s="273">
        <v>895</v>
      </c>
      <c r="AF344" s="273">
        <v>425</v>
      </c>
      <c r="AG344" s="273">
        <v>125</v>
      </c>
      <c r="AH344" s="273">
        <v>9407</v>
      </c>
      <c r="AI344" s="273">
        <v>1.0470905569898983</v>
      </c>
      <c r="AJ344" s="273">
        <v>87717</v>
      </c>
      <c r="AK344" s="273">
        <v>11068</v>
      </c>
      <c r="AL344" s="273">
        <v>1.3350012766929178</v>
      </c>
      <c r="AM344" s="273">
        <v>1.05752978034095</v>
      </c>
      <c r="AN344" s="273">
        <v>0</v>
      </c>
      <c r="AO344" s="273">
        <v>0</v>
      </c>
      <c r="AP344" s="273">
        <f t="shared" si="4"/>
        <v>0</v>
      </c>
      <c r="AQ344" s="273">
        <v>497689.7856930196</v>
      </c>
      <c r="AR344" s="273">
        <v>-23955298.213110898</v>
      </c>
      <c r="AS344" s="273">
        <v>1</v>
      </c>
      <c r="AT344" s="273">
        <v>178630</v>
      </c>
      <c r="AU344" s="273">
        <v>0</v>
      </c>
      <c r="AV344" s="273">
        <v>0</v>
      </c>
      <c r="AW344" s="273">
        <v>0</v>
      </c>
      <c r="AX344" s="273">
        <v>0</v>
      </c>
      <c r="AY344" s="273">
        <v>245.66</v>
      </c>
      <c r="AZ344" s="273">
        <v>727.1432060571522</v>
      </c>
      <c r="BA344" s="273">
        <v>172803</v>
      </c>
      <c r="BB344" s="273">
        <v>0.967379499524156</v>
      </c>
      <c r="BC344" s="273">
        <v>1</v>
      </c>
      <c r="BD344" s="273">
        <v>0</v>
      </c>
      <c r="BE344" s="273">
        <v>175582</v>
      </c>
      <c r="BF344" s="273">
        <v>178630</v>
      </c>
      <c r="BG344" s="273">
        <v>0.01735941041792439</v>
      </c>
      <c r="BH344" s="273">
        <v>0</v>
      </c>
      <c r="BI344" s="273">
        <v>7</v>
      </c>
      <c r="BJ344" s="273">
        <v>3.918714661590998E-05</v>
      </c>
      <c r="BK344" s="273">
        <v>29253391.68525801</v>
      </c>
      <c r="BL344" s="273">
        <v>6334.46</v>
      </c>
    </row>
    <row r="345" spans="6:64" s="273" customFormat="1" ht="12.75">
      <c r="F345" s="273">
        <v>857</v>
      </c>
      <c r="G345" s="273" t="s">
        <v>280</v>
      </c>
      <c r="H345" s="273">
        <v>146</v>
      </c>
      <c r="I345" s="273">
        <v>27</v>
      </c>
      <c r="J345" s="273">
        <v>132</v>
      </c>
      <c r="K345" s="273">
        <v>99</v>
      </c>
      <c r="L345" s="273">
        <v>1886</v>
      </c>
      <c r="M345" s="273">
        <v>408</v>
      </c>
      <c r="N345" s="273">
        <v>279</v>
      </c>
      <c r="O345" s="273">
        <v>101</v>
      </c>
      <c r="P345" s="273">
        <v>2820</v>
      </c>
      <c r="Q345" s="273">
        <v>0</v>
      </c>
      <c r="R345" s="273">
        <v>1</v>
      </c>
      <c r="S345" s="273">
        <v>543.27</v>
      </c>
      <c r="T345" s="273">
        <v>5.190789110387101</v>
      </c>
      <c r="U345" s="273">
        <v>0</v>
      </c>
      <c r="V345" s="273">
        <v>0</v>
      </c>
      <c r="W345" s="273">
        <v>957</v>
      </c>
      <c r="X345" s="273">
        <v>176</v>
      </c>
      <c r="Y345" s="273">
        <v>22</v>
      </c>
      <c r="Z345" s="273">
        <v>0.8332007358828276</v>
      </c>
      <c r="AA345" s="273">
        <v>3</v>
      </c>
      <c r="AB345" s="273">
        <v>2</v>
      </c>
      <c r="AC345" s="273">
        <v>0.45882921080610245</v>
      </c>
      <c r="AD345" s="273">
        <v>206</v>
      </c>
      <c r="AE345" s="273">
        <v>18</v>
      </c>
      <c r="AF345" s="273">
        <v>5</v>
      </c>
      <c r="AG345" s="273">
        <v>6</v>
      </c>
      <c r="AH345" s="273">
        <v>235</v>
      </c>
      <c r="AI345" s="273">
        <v>1.6569379734515566</v>
      </c>
      <c r="AJ345" s="273">
        <v>1151</v>
      </c>
      <c r="AK345" s="273">
        <v>123</v>
      </c>
      <c r="AL345" s="273">
        <v>1.1306445362075543</v>
      </c>
      <c r="AM345" s="273">
        <v>2.30425872966173</v>
      </c>
      <c r="AN345" s="273">
        <v>0</v>
      </c>
      <c r="AO345" s="273">
        <v>0</v>
      </c>
      <c r="AP345" s="273">
        <f t="shared" si="4"/>
        <v>0</v>
      </c>
      <c r="AQ345" s="273">
        <v>24017.81958437711</v>
      </c>
      <c r="AR345" s="273">
        <v>2428133.962906327</v>
      </c>
      <c r="AS345" s="273">
        <v>1</v>
      </c>
      <c r="AT345" s="273">
        <v>2820</v>
      </c>
      <c r="AU345" s="273">
        <v>0</v>
      </c>
      <c r="AV345" s="273">
        <v>0</v>
      </c>
      <c r="AW345" s="273">
        <v>0</v>
      </c>
      <c r="AX345" s="273">
        <v>0.32366666666666666</v>
      </c>
      <c r="AY345" s="273">
        <v>543.27</v>
      </c>
      <c r="AZ345" s="273">
        <v>5.190789110387101</v>
      </c>
      <c r="BA345" s="273">
        <v>1092</v>
      </c>
      <c r="BB345" s="273">
        <v>0.3872340425531915</v>
      </c>
      <c r="BC345" s="273">
        <v>0</v>
      </c>
      <c r="BD345" s="273">
        <v>0</v>
      </c>
      <c r="BE345" s="273">
        <v>2877</v>
      </c>
      <c r="BF345" s="273">
        <v>2820</v>
      </c>
      <c r="BG345" s="273">
        <v>-0.01981230448383733</v>
      </c>
      <c r="BH345" s="273">
        <v>0</v>
      </c>
      <c r="BI345" s="273">
        <v>1</v>
      </c>
      <c r="BJ345" s="273">
        <v>0.0003546099290780142</v>
      </c>
      <c r="BK345" s="273">
        <v>735059.0248377378</v>
      </c>
      <c r="BL345" s="273">
        <v>7218.29</v>
      </c>
    </row>
    <row r="346" spans="6:64" s="273" customFormat="1" ht="12.75">
      <c r="F346" s="273">
        <v>858</v>
      </c>
      <c r="G346" s="273" t="s">
        <v>281</v>
      </c>
      <c r="H346" s="273">
        <v>3491</v>
      </c>
      <c r="I346" s="273">
        <v>539</v>
      </c>
      <c r="J346" s="273">
        <v>3395</v>
      </c>
      <c r="K346" s="273">
        <v>1710</v>
      </c>
      <c r="L346" s="273">
        <v>29406</v>
      </c>
      <c r="M346" s="273">
        <v>3072</v>
      </c>
      <c r="N346" s="273">
        <v>1322</v>
      </c>
      <c r="O346" s="273">
        <v>376</v>
      </c>
      <c r="P346" s="273">
        <v>37667</v>
      </c>
      <c r="Q346" s="273">
        <v>91</v>
      </c>
      <c r="R346" s="273">
        <v>82</v>
      </c>
      <c r="S346" s="273">
        <v>219.51</v>
      </c>
      <c r="T346" s="273">
        <v>171.5958270693818</v>
      </c>
      <c r="U346" s="273">
        <v>0</v>
      </c>
      <c r="V346" s="273">
        <v>0</v>
      </c>
      <c r="W346" s="273">
        <v>17768</v>
      </c>
      <c r="X346" s="273">
        <v>141</v>
      </c>
      <c r="Y346" s="273">
        <v>187</v>
      </c>
      <c r="Z346" s="273">
        <v>1.0311639982481913</v>
      </c>
      <c r="AA346" s="273">
        <v>55</v>
      </c>
      <c r="AB346" s="273">
        <v>55</v>
      </c>
      <c r="AC346" s="273">
        <v>0.9446519578945296</v>
      </c>
      <c r="AD346" s="273">
        <v>867</v>
      </c>
      <c r="AE346" s="273">
        <v>250</v>
      </c>
      <c r="AF346" s="273">
        <v>54</v>
      </c>
      <c r="AG346" s="273">
        <v>7</v>
      </c>
      <c r="AH346" s="273">
        <v>1178</v>
      </c>
      <c r="AI346" s="273">
        <v>0.6218301216638227</v>
      </c>
      <c r="AJ346" s="273">
        <v>18838</v>
      </c>
      <c r="AK346" s="273">
        <v>921</v>
      </c>
      <c r="AL346" s="273">
        <v>0.5172745817104152</v>
      </c>
      <c r="AM346" s="273">
        <v>0.744424124745943</v>
      </c>
      <c r="AN346" s="273">
        <v>0</v>
      </c>
      <c r="AO346" s="273">
        <v>0</v>
      </c>
      <c r="AP346" s="273">
        <f t="shared" si="4"/>
        <v>0</v>
      </c>
      <c r="AQ346" s="273">
        <v>-666280.6096984223</v>
      </c>
      <c r="AR346" s="273">
        <v>-11890849.804759791</v>
      </c>
      <c r="AS346" s="273">
        <v>0</v>
      </c>
      <c r="AT346" s="273">
        <v>37667</v>
      </c>
      <c r="AU346" s="273">
        <v>0</v>
      </c>
      <c r="AV346" s="273">
        <v>0</v>
      </c>
      <c r="AW346" s="273">
        <v>0</v>
      </c>
      <c r="AX346" s="273">
        <v>0</v>
      </c>
      <c r="AY346" s="273">
        <v>219.51</v>
      </c>
      <c r="AZ346" s="273">
        <v>171.5958270693818</v>
      </c>
      <c r="BA346" s="273">
        <v>35065</v>
      </c>
      <c r="BB346" s="273">
        <v>0.9309209653011921</v>
      </c>
      <c r="BC346" s="273">
        <v>0</v>
      </c>
      <c r="BD346" s="273">
        <v>0</v>
      </c>
      <c r="BE346" s="273">
        <v>36386</v>
      </c>
      <c r="BF346" s="273">
        <v>37667</v>
      </c>
      <c r="BG346" s="273">
        <v>0.035205848403232015</v>
      </c>
      <c r="BH346" s="273">
        <v>0</v>
      </c>
      <c r="BI346" s="273">
        <v>2</v>
      </c>
      <c r="BJ346" s="273">
        <v>5.30968752488916E-05</v>
      </c>
      <c r="BK346" s="273">
        <v>3897800.6633996526</v>
      </c>
      <c r="BL346" s="273">
        <v>5880.86</v>
      </c>
    </row>
    <row r="347" spans="6:64" s="273" customFormat="1" ht="12.75">
      <c r="F347" s="273">
        <v>859</v>
      </c>
      <c r="G347" s="273" t="s">
        <v>282</v>
      </c>
      <c r="H347" s="273">
        <v>1065</v>
      </c>
      <c r="I347" s="273">
        <v>137</v>
      </c>
      <c r="J347" s="273">
        <v>759</v>
      </c>
      <c r="K347" s="273">
        <v>332</v>
      </c>
      <c r="L347" s="273">
        <v>4694</v>
      </c>
      <c r="M347" s="273">
        <v>361</v>
      </c>
      <c r="N347" s="273">
        <v>257</v>
      </c>
      <c r="O347" s="273">
        <v>85</v>
      </c>
      <c r="P347" s="273">
        <v>6462</v>
      </c>
      <c r="Q347" s="273">
        <v>6</v>
      </c>
      <c r="R347" s="273">
        <v>4</v>
      </c>
      <c r="S347" s="273">
        <v>491.81</v>
      </c>
      <c r="T347" s="273">
        <v>13.139220430654115</v>
      </c>
      <c r="U347" s="273">
        <v>0</v>
      </c>
      <c r="V347" s="273">
        <v>0</v>
      </c>
      <c r="W347" s="273">
        <v>2325</v>
      </c>
      <c r="X347" s="273">
        <v>263</v>
      </c>
      <c r="Y347" s="273">
        <v>32</v>
      </c>
      <c r="Z347" s="273">
        <v>0.9172609129765696</v>
      </c>
      <c r="AA347" s="273">
        <v>8</v>
      </c>
      <c r="AB347" s="273">
        <v>8</v>
      </c>
      <c r="AC347" s="273">
        <v>0.8009274989001602</v>
      </c>
      <c r="AD347" s="273">
        <v>248</v>
      </c>
      <c r="AE347" s="273">
        <v>58</v>
      </c>
      <c r="AF347" s="273">
        <v>13</v>
      </c>
      <c r="AG347" s="273">
        <v>1</v>
      </c>
      <c r="AH347" s="273">
        <v>320</v>
      </c>
      <c r="AI347" s="273">
        <v>0.9846242367771554</v>
      </c>
      <c r="AJ347" s="273">
        <v>2629</v>
      </c>
      <c r="AK347" s="273">
        <v>230</v>
      </c>
      <c r="AL347" s="273">
        <v>0.9256217488804543</v>
      </c>
      <c r="AM347" s="273">
        <v>1.0756930650167</v>
      </c>
      <c r="AN347" s="273">
        <v>0</v>
      </c>
      <c r="AO347" s="273">
        <v>0</v>
      </c>
      <c r="AP347" s="273">
        <f t="shared" si="4"/>
        <v>0</v>
      </c>
      <c r="AQ347" s="273">
        <v>-6601.024326741695</v>
      </c>
      <c r="AR347" s="273">
        <v>5151126.320336583</v>
      </c>
      <c r="AS347" s="273">
        <v>1</v>
      </c>
      <c r="AT347" s="273">
        <v>6462</v>
      </c>
      <c r="AU347" s="273">
        <v>0</v>
      </c>
      <c r="AV347" s="273">
        <v>0</v>
      </c>
      <c r="AW347" s="273">
        <v>0</v>
      </c>
      <c r="AX347" s="273">
        <v>0</v>
      </c>
      <c r="AY347" s="273">
        <v>491.81</v>
      </c>
      <c r="AZ347" s="273">
        <v>13.139220430654115</v>
      </c>
      <c r="BA347" s="273">
        <v>4390</v>
      </c>
      <c r="BB347" s="273">
        <v>0.6793562364593005</v>
      </c>
      <c r="BC347" s="273">
        <v>0</v>
      </c>
      <c r="BD347" s="273">
        <v>0</v>
      </c>
      <c r="BE347" s="273">
        <v>6148</v>
      </c>
      <c r="BF347" s="273">
        <v>6462</v>
      </c>
      <c r="BG347" s="273">
        <v>0.05107351984385166</v>
      </c>
      <c r="BH347" s="273">
        <v>0</v>
      </c>
      <c r="BI347" s="273">
        <v>1</v>
      </c>
      <c r="BJ347" s="273">
        <v>0.00015475085112968121</v>
      </c>
      <c r="BK347" s="273">
        <v>954095.7554445983</v>
      </c>
      <c r="BL347" s="273">
        <v>6614.13</v>
      </c>
    </row>
    <row r="348" spans="6:64" s="273" customFormat="1" ht="12.75">
      <c r="F348" s="273">
        <v>886</v>
      </c>
      <c r="G348" s="273" t="s">
        <v>283</v>
      </c>
      <c r="H348" s="273">
        <v>1085</v>
      </c>
      <c r="I348" s="273">
        <v>152</v>
      </c>
      <c r="J348" s="273">
        <v>996</v>
      </c>
      <c r="K348" s="273">
        <v>497</v>
      </c>
      <c r="L348" s="273">
        <v>9736</v>
      </c>
      <c r="M348" s="273">
        <v>1603</v>
      </c>
      <c r="N348" s="273">
        <v>863</v>
      </c>
      <c r="O348" s="273">
        <v>267</v>
      </c>
      <c r="P348" s="273">
        <v>13554</v>
      </c>
      <c r="Q348" s="273">
        <v>3</v>
      </c>
      <c r="R348" s="273">
        <v>20</v>
      </c>
      <c r="S348" s="273">
        <v>400.7</v>
      </c>
      <c r="T348" s="273">
        <v>33.82580484152733</v>
      </c>
      <c r="U348" s="273">
        <v>0</v>
      </c>
      <c r="V348" s="273">
        <v>0</v>
      </c>
      <c r="W348" s="273">
        <v>5728</v>
      </c>
      <c r="X348" s="273">
        <v>175</v>
      </c>
      <c r="Y348" s="273">
        <v>64</v>
      </c>
      <c r="Z348" s="273">
        <v>1.0067230867330912</v>
      </c>
      <c r="AA348" s="273">
        <v>13</v>
      </c>
      <c r="AB348" s="273">
        <v>13</v>
      </c>
      <c r="AC348" s="273">
        <v>0.6205060819002404</v>
      </c>
      <c r="AD348" s="273">
        <v>589</v>
      </c>
      <c r="AE348" s="273">
        <v>93</v>
      </c>
      <c r="AF348" s="273">
        <v>23</v>
      </c>
      <c r="AG348" s="273">
        <v>9</v>
      </c>
      <c r="AH348" s="273">
        <v>714</v>
      </c>
      <c r="AI348" s="273">
        <v>1.04741364590032</v>
      </c>
      <c r="AJ348" s="273">
        <v>6470</v>
      </c>
      <c r="AK348" s="273">
        <v>597</v>
      </c>
      <c r="AL348" s="273">
        <v>0.9762619232246547</v>
      </c>
      <c r="AM348" s="273">
        <v>0.893187519931348</v>
      </c>
      <c r="AN348" s="273">
        <v>0</v>
      </c>
      <c r="AO348" s="273">
        <v>0</v>
      </c>
      <c r="AP348" s="273">
        <f t="shared" si="4"/>
        <v>0</v>
      </c>
      <c r="AQ348" s="273">
        <v>-4173.156892091036</v>
      </c>
      <c r="AR348" s="273">
        <v>1163746.1869538391</v>
      </c>
      <c r="AS348" s="273">
        <v>1</v>
      </c>
      <c r="AT348" s="273">
        <v>13554</v>
      </c>
      <c r="AU348" s="273">
        <v>0</v>
      </c>
      <c r="AV348" s="273">
        <v>0</v>
      </c>
      <c r="AW348" s="273">
        <v>0</v>
      </c>
      <c r="AX348" s="273">
        <v>0</v>
      </c>
      <c r="AY348" s="273">
        <v>400.7</v>
      </c>
      <c r="AZ348" s="273">
        <v>33.82580484152733</v>
      </c>
      <c r="BA348" s="273">
        <v>11476</v>
      </c>
      <c r="BB348" s="273">
        <v>0.8466873247749742</v>
      </c>
      <c r="BC348" s="273">
        <v>0</v>
      </c>
      <c r="BD348" s="273">
        <v>0</v>
      </c>
      <c r="BE348" s="273">
        <v>13707</v>
      </c>
      <c r="BF348" s="273">
        <v>13554</v>
      </c>
      <c r="BG348" s="273">
        <v>-0.011162179908076166</v>
      </c>
      <c r="BH348" s="273">
        <v>0</v>
      </c>
      <c r="BI348" s="273">
        <v>1</v>
      </c>
      <c r="BJ348" s="273">
        <v>7.377895824110964E-05</v>
      </c>
      <c r="BK348" s="273">
        <v>1970992.718640262</v>
      </c>
      <c r="BL348" s="273">
        <v>5979.92</v>
      </c>
    </row>
    <row r="349" spans="6:64" s="273" customFormat="1" ht="12.75">
      <c r="F349" s="273">
        <v>887</v>
      </c>
      <c r="G349" s="273" t="s">
        <v>284</v>
      </c>
      <c r="H349" s="273">
        <v>328</v>
      </c>
      <c r="I349" s="273">
        <v>56</v>
      </c>
      <c r="J349" s="273">
        <v>281</v>
      </c>
      <c r="K349" s="273">
        <v>155</v>
      </c>
      <c r="L349" s="273">
        <v>3539</v>
      </c>
      <c r="M349" s="273">
        <v>697</v>
      </c>
      <c r="N349" s="273">
        <v>489</v>
      </c>
      <c r="O349" s="273">
        <v>193</v>
      </c>
      <c r="P349" s="273">
        <v>5246</v>
      </c>
      <c r="Q349" s="273">
        <v>0</v>
      </c>
      <c r="R349" s="273">
        <v>12</v>
      </c>
      <c r="S349" s="273">
        <v>475.22</v>
      </c>
      <c r="T349" s="273">
        <v>11.039097681074029</v>
      </c>
      <c r="U349" s="273">
        <v>0</v>
      </c>
      <c r="V349" s="273">
        <v>0</v>
      </c>
      <c r="W349" s="273">
        <v>2003</v>
      </c>
      <c r="X349" s="273">
        <v>276</v>
      </c>
      <c r="Y349" s="273">
        <v>28</v>
      </c>
      <c r="Z349" s="273">
        <v>0.8911118855994877</v>
      </c>
      <c r="AA349" s="273">
        <v>9</v>
      </c>
      <c r="AB349" s="273">
        <v>9</v>
      </c>
      <c r="AC349" s="273">
        <v>1.1099013887017612</v>
      </c>
      <c r="AD349" s="273">
        <v>352</v>
      </c>
      <c r="AE349" s="273">
        <v>32</v>
      </c>
      <c r="AF349" s="273">
        <v>7</v>
      </c>
      <c r="AG349" s="273">
        <v>4</v>
      </c>
      <c r="AH349" s="273">
        <v>395</v>
      </c>
      <c r="AI349" s="273">
        <v>1.4971189466565724</v>
      </c>
      <c r="AJ349" s="273">
        <v>2375</v>
      </c>
      <c r="AK349" s="273">
        <v>278</v>
      </c>
      <c r="AL349" s="273">
        <v>1.23844716270987</v>
      </c>
      <c r="AM349" s="273">
        <v>0.962094246163065</v>
      </c>
      <c r="AN349" s="273">
        <v>0</v>
      </c>
      <c r="AO349" s="273">
        <v>0</v>
      </c>
      <c r="AP349" s="273">
        <f t="shared" si="4"/>
        <v>0</v>
      </c>
      <c r="AQ349" s="273">
        <v>15813.88045085594</v>
      </c>
      <c r="AR349" s="273">
        <v>2902988.834571428</v>
      </c>
      <c r="AS349" s="273">
        <v>1</v>
      </c>
      <c r="AT349" s="273">
        <v>5246</v>
      </c>
      <c r="AU349" s="273">
        <v>0</v>
      </c>
      <c r="AV349" s="273">
        <v>0</v>
      </c>
      <c r="AW349" s="273">
        <v>0</v>
      </c>
      <c r="AX349" s="273">
        <v>0</v>
      </c>
      <c r="AY349" s="273">
        <v>475.22</v>
      </c>
      <c r="AZ349" s="273">
        <v>11.039097681074029</v>
      </c>
      <c r="BA349" s="273">
        <v>2693</v>
      </c>
      <c r="BB349" s="273">
        <v>0.5133434998093785</v>
      </c>
      <c r="BC349" s="273">
        <v>0</v>
      </c>
      <c r="BD349" s="273">
        <v>0</v>
      </c>
      <c r="BE349" s="273">
        <v>5414</v>
      </c>
      <c r="BF349" s="273">
        <v>5246</v>
      </c>
      <c r="BG349" s="273">
        <v>-0.031030661248614703</v>
      </c>
      <c r="BH349" s="273">
        <v>0</v>
      </c>
      <c r="BI349" s="273">
        <v>0</v>
      </c>
      <c r="BJ349" s="273">
        <v>0</v>
      </c>
      <c r="BK349" s="273">
        <v>1189188.1568978454</v>
      </c>
      <c r="BL349" s="273">
        <v>6753.13</v>
      </c>
    </row>
    <row r="350" spans="6:64" s="273" customFormat="1" ht="12.75">
      <c r="F350" s="273">
        <v>889</v>
      </c>
      <c r="G350" s="273" t="s">
        <v>285</v>
      </c>
      <c r="H350" s="273">
        <v>218</v>
      </c>
      <c r="I350" s="273">
        <v>33</v>
      </c>
      <c r="J350" s="273">
        <v>212</v>
      </c>
      <c r="K350" s="273">
        <v>113</v>
      </c>
      <c r="L350" s="273">
        <v>2071</v>
      </c>
      <c r="M350" s="273">
        <v>313</v>
      </c>
      <c r="N350" s="273">
        <v>267</v>
      </c>
      <c r="O350" s="273">
        <v>82</v>
      </c>
      <c r="P350" s="273">
        <v>2951</v>
      </c>
      <c r="Q350" s="273">
        <v>0</v>
      </c>
      <c r="R350" s="273">
        <v>3</v>
      </c>
      <c r="S350" s="273">
        <v>1671.12</v>
      </c>
      <c r="T350" s="273">
        <v>1.7658815644597636</v>
      </c>
      <c r="U350" s="273">
        <v>0</v>
      </c>
      <c r="V350" s="273">
        <v>0</v>
      </c>
      <c r="W350" s="273">
        <v>1010</v>
      </c>
      <c r="X350" s="273">
        <v>176</v>
      </c>
      <c r="Y350" s="273">
        <v>13</v>
      </c>
      <c r="Z350" s="273">
        <v>0.8539679862520121</v>
      </c>
      <c r="AA350" s="273">
        <v>7</v>
      </c>
      <c r="AB350" s="273">
        <v>7</v>
      </c>
      <c r="AC350" s="273">
        <v>1.5346134566778147</v>
      </c>
      <c r="AD350" s="273">
        <v>243</v>
      </c>
      <c r="AE350" s="273">
        <v>29</v>
      </c>
      <c r="AF350" s="273">
        <v>5</v>
      </c>
      <c r="AG350" s="273">
        <v>1</v>
      </c>
      <c r="AH350" s="273">
        <v>278</v>
      </c>
      <c r="AI350" s="273">
        <v>1.873109142471838</v>
      </c>
      <c r="AJ350" s="273">
        <v>1171</v>
      </c>
      <c r="AK350" s="273">
        <v>140</v>
      </c>
      <c r="AL350" s="273">
        <v>1.2649327623842128</v>
      </c>
      <c r="AM350" s="273">
        <v>2.02931433135018</v>
      </c>
      <c r="AN350" s="273">
        <v>0.05</v>
      </c>
      <c r="AO350" s="273">
        <v>0</v>
      </c>
      <c r="AP350" s="273">
        <f t="shared" si="4"/>
        <v>0.05</v>
      </c>
      <c r="AQ350" s="273">
        <v>-2570.9969102814794</v>
      </c>
      <c r="AR350" s="273">
        <v>2418925.349000001</v>
      </c>
      <c r="AS350" s="273">
        <v>1</v>
      </c>
      <c r="AT350" s="273">
        <v>2951</v>
      </c>
      <c r="AU350" s="273">
        <v>0</v>
      </c>
      <c r="AV350" s="273">
        <v>0</v>
      </c>
      <c r="AW350" s="273">
        <v>0</v>
      </c>
      <c r="AX350" s="273">
        <v>0.5420333333333334</v>
      </c>
      <c r="AY350" s="273">
        <v>1671.12</v>
      </c>
      <c r="AZ350" s="273">
        <v>1.7658815644597636</v>
      </c>
      <c r="BA350" s="273">
        <v>1384</v>
      </c>
      <c r="BB350" s="273">
        <v>0.4689935615045747</v>
      </c>
      <c r="BC350" s="273">
        <v>0</v>
      </c>
      <c r="BD350" s="273">
        <v>0</v>
      </c>
      <c r="BE350" s="273">
        <v>3045</v>
      </c>
      <c r="BF350" s="273">
        <v>2951</v>
      </c>
      <c r="BG350" s="273">
        <v>-0.030870279146141214</v>
      </c>
      <c r="BH350" s="273">
        <v>0</v>
      </c>
      <c r="BI350" s="273">
        <v>0</v>
      </c>
      <c r="BJ350" s="273">
        <v>0</v>
      </c>
      <c r="BK350" s="273">
        <v>603483.3776186388</v>
      </c>
      <c r="BL350" s="273">
        <v>8331.64</v>
      </c>
    </row>
    <row r="351" spans="6:64" s="273" customFormat="1" ht="12.75">
      <c r="F351" s="273">
        <v>890</v>
      </c>
      <c r="G351" s="273" t="s">
        <v>286</v>
      </c>
      <c r="H351" s="273">
        <v>106</v>
      </c>
      <c r="I351" s="273">
        <v>17</v>
      </c>
      <c r="J351" s="273">
        <v>74</v>
      </c>
      <c r="K351" s="273">
        <v>19</v>
      </c>
      <c r="L351" s="273">
        <v>887</v>
      </c>
      <c r="M351" s="273">
        <v>172</v>
      </c>
      <c r="N351" s="273">
        <v>96</v>
      </c>
      <c r="O351" s="273">
        <v>33</v>
      </c>
      <c r="P351" s="273">
        <v>1294</v>
      </c>
      <c r="Q351" s="273">
        <v>0</v>
      </c>
      <c r="R351" s="273">
        <v>2</v>
      </c>
      <c r="S351" s="273">
        <v>5144.26</v>
      </c>
      <c r="T351" s="273">
        <v>0.2515424959080606</v>
      </c>
      <c r="U351" s="273">
        <v>0</v>
      </c>
      <c r="V351" s="273">
        <v>0</v>
      </c>
      <c r="W351" s="273">
        <v>534</v>
      </c>
      <c r="X351" s="273">
        <v>41</v>
      </c>
      <c r="Y351" s="273">
        <v>43</v>
      </c>
      <c r="Z351" s="273">
        <v>0.8853012215657791</v>
      </c>
      <c r="AA351" s="273">
        <v>0</v>
      </c>
      <c r="AB351" s="273">
        <v>2</v>
      </c>
      <c r="AC351" s="273">
        <v>0.9999214640442108</v>
      </c>
      <c r="AD351" s="273">
        <v>69</v>
      </c>
      <c r="AE351" s="273">
        <v>9</v>
      </c>
      <c r="AF351" s="273">
        <v>3</v>
      </c>
      <c r="AG351" s="273">
        <v>0</v>
      </c>
      <c r="AH351" s="273">
        <v>81</v>
      </c>
      <c r="AI351" s="273">
        <v>1.2446241964412004</v>
      </c>
      <c r="AJ351" s="273">
        <v>597</v>
      </c>
      <c r="AK351" s="273">
        <v>54</v>
      </c>
      <c r="AL351" s="273">
        <v>0.9570083548289461</v>
      </c>
      <c r="AM351" s="273">
        <v>1.4262425056941</v>
      </c>
      <c r="AN351" s="273">
        <v>0.17</v>
      </c>
      <c r="AO351" s="273">
        <v>0</v>
      </c>
      <c r="AP351" s="273">
        <f t="shared" si="4"/>
        <v>0.17</v>
      </c>
      <c r="AQ351" s="273">
        <v>295977.30180672323</v>
      </c>
      <c r="AR351" s="273">
        <v>782302.4627518071</v>
      </c>
      <c r="AS351" s="273">
        <v>1</v>
      </c>
      <c r="AT351" s="273">
        <v>1294</v>
      </c>
      <c r="AU351" s="273">
        <v>0</v>
      </c>
      <c r="AV351" s="273">
        <v>0</v>
      </c>
      <c r="AW351" s="273">
        <v>0</v>
      </c>
      <c r="AX351" s="273">
        <v>1.941</v>
      </c>
      <c r="AY351" s="273">
        <v>5144.26</v>
      </c>
      <c r="AZ351" s="273">
        <v>0.2515424959080606</v>
      </c>
      <c r="BA351" s="273">
        <v>346</v>
      </c>
      <c r="BB351" s="273">
        <v>0.26738794435857804</v>
      </c>
      <c r="BC351" s="273">
        <v>0</v>
      </c>
      <c r="BD351" s="273">
        <v>1</v>
      </c>
      <c r="BE351" s="273">
        <v>1322</v>
      </c>
      <c r="BF351" s="273">
        <v>1294</v>
      </c>
      <c r="BG351" s="273">
        <v>-0.02118003025718608</v>
      </c>
      <c r="BH351" s="273">
        <v>0</v>
      </c>
      <c r="BI351" s="273">
        <v>614</v>
      </c>
      <c r="BJ351" s="273">
        <v>0.47449768160741884</v>
      </c>
      <c r="BK351" s="273">
        <v>296624.211748345</v>
      </c>
      <c r="BL351" s="273">
        <v>10050.47</v>
      </c>
    </row>
    <row r="352" spans="6:64" s="273" customFormat="1" ht="12.75">
      <c r="F352" s="273">
        <v>892</v>
      </c>
      <c r="G352" s="273" t="s">
        <v>287</v>
      </c>
      <c r="H352" s="273">
        <v>444</v>
      </c>
      <c r="I352" s="273">
        <v>71</v>
      </c>
      <c r="J352" s="273">
        <v>313</v>
      </c>
      <c r="K352" s="273">
        <v>143</v>
      </c>
      <c r="L352" s="273">
        <v>2492</v>
      </c>
      <c r="M352" s="273">
        <v>324</v>
      </c>
      <c r="N352" s="273">
        <v>174</v>
      </c>
      <c r="O352" s="273">
        <v>73</v>
      </c>
      <c r="P352" s="273">
        <v>3507</v>
      </c>
      <c r="Q352" s="273">
        <v>3</v>
      </c>
      <c r="R352" s="273">
        <v>2</v>
      </c>
      <c r="S352" s="273">
        <v>348.05</v>
      </c>
      <c r="T352" s="273">
        <v>10.076138485849734</v>
      </c>
      <c r="U352" s="273">
        <v>0</v>
      </c>
      <c r="V352" s="273">
        <v>0</v>
      </c>
      <c r="W352" s="273">
        <v>1270</v>
      </c>
      <c r="X352" s="273">
        <v>122</v>
      </c>
      <c r="Y352" s="273">
        <v>16</v>
      </c>
      <c r="Z352" s="273">
        <v>0.9364023881397283</v>
      </c>
      <c r="AA352" s="273">
        <v>1</v>
      </c>
      <c r="AB352" s="273">
        <v>2</v>
      </c>
      <c r="AC352" s="273">
        <v>0.36894735513920984</v>
      </c>
      <c r="AD352" s="273">
        <v>153</v>
      </c>
      <c r="AE352" s="273">
        <v>34</v>
      </c>
      <c r="AF352" s="273">
        <v>6</v>
      </c>
      <c r="AG352" s="273">
        <v>1</v>
      </c>
      <c r="AH352" s="273">
        <v>194</v>
      </c>
      <c r="AI352" s="273">
        <v>1.0999006564571499</v>
      </c>
      <c r="AJ352" s="273">
        <v>1497</v>
      </c>
      <c r="AK352" s="273">
        <v>163</v>
      </c>
      <c r="AL352" s="273">
        <v>1.1520255327538975</v>
      </c>
      <c r="AM352" s="273">
        <v>1.05394601418746</v>
      </c>
      <c r="AN352" s="273">
        <v>0</v>
      </c>
      <c r="AO352" s="273">
        <v>0</v>
      </c>
      <c r="AP352" s="273">
        <f t="shared" si="4"/>
        <v>0</v>
      </c>
      <c r="AQ352" s="273">
        <v>63468.46938453615</v>
      </c>
      <c r="AR352" s="273">
        <v>2584539.462107692</v>
      </c>
      <c r="AS352" s="273">
        <v>1</v>
      </c>
      <c r="AT352" s="273">
        <v>3507</v>
      </c>
      <c r="AU352" s="273">
        <v>0</v>
      </c>
      <c r="AV352" s="273">
        <v>0</v>
      </c>
      <c r="AW352" s="273">
        <v>0</v>
      </c>
      <c r="AX352" s="273">
        <v>0</v>
      </c>
      <c r="AY352" s="273">
        <v>348.05</v>
      </c>
      <c r="AZ352" s="273">
        <v>10.076138485849734</v>
      </c>
      <c r="BA352" s="273">
        <v>1384</v>
      </c>
      <c r="BB352" s="273">
        <v>0.3946392928428857</v>
      </c>
      <c r="BC352" s="273">
        <v>0</v>
      </c>
      <c r="BD352" s="273">
        <v>0</v>
      </c>
      <c r="BE352" s="273">
        <v>3321</v>
      </c>
      <c r="BF352" s="273">
        <v>3507</v>
      </c>
      <c r="BG352" s="273">
        <v>0.05600722673893405</v>
      </c>
      <c r="BH352" s="273">
        <v>0</v>
      </c>
      <c r="BI352" s="273">
        <v>0</v>
      </c>
      <c r="BJ352" s="273">
        <v>0</v>
      </c>
      <c r="BK352" s="273">
        <v>676520.9617075757</v>
      </c>
      <c r="BL352" s="273">
        <v>6796.32</v>
      </c>
    </row>
    <row r="353" spans="6:64" s="273" customFormat="1" ht="12.75">
      <c r="F353" s="273">
        <v>893</v>
      </c>
      <c r="G353" s="273" t="s">
        <v>288</v>
      </c>
      <c r="H353" s="273">
        <v>655</v>
      </c>
      <c r="I353" s="273">
        <v>71</v>
      </c>
      <c r="J353" s="273">
        <v>488</v>
      </c>
      <c r="K353" s="273">
        <v>256</v>
      </c>
      <c r="L353" s="273">
        <v>5223</v>
      </c>
      <c r="M353" s="273">
        <v>836</v>
      </c>
      <c r="N353" s="273">
        <v>523</v>
      </c>
      <c r="O353" s="273">
        <v>279</v>
      </c>
      <c r="P353" s="273">
        <v>7516</v>
      </c>
      <c r="Q353" s="273">
        <v>721</v>
      </c>
      <c r="R353" s="273">
        <v>40</v>
      </c>
      <c r="S353" s="273">
        <v>732.37</v>
      </c>
      <c r="T353" s="273">
        <v>10.262572197113482</v>
      </c>
      <c r="U353" s="273">
        <v>0</v>
      </c>
      <c r="V353" s="273">
        <v>3</v>
      </c>
      <c r="W353" s="273">
        <v>3357</v>
      </c>
      <c r="X353" s="273">
        <v>597</v>
      </c>
      <c r="Y353" s="273">
        <v>40</v>
      </c>
      <c r="Z353" s="273">
        <v>0.8512112787871862</v>
      </c>
      <c r="AA353" s="273">
        <v>2</v>
      </c>
      <c r="AB353" s="273">
        <v>2</v>
      </c>
      <c r="AC353" s="273">
        <v>0.17215252454406715</v>
      </c>
      <c r="AD353" s="273">
        <v>323</v>
      </c>
      <c r="AE353" s="273">
        <v>38</v>
      </c>
      <c r="AF353" s="273">
        <v>15</v>
      </c>
      <c r="AG353" s="273">
        <v>2</v>
      </c>
      <c r="AH353" s="273">
        <v>378</v>
      </c>
      <c r="AI353" s="273">
        <v>0.9999827897254207</v>
      </c>
      <c r="AJ353" s="273">
        <v>3545</v>
      </c>
      <c r="AK353" s="273">
        <v>125</v>
      </c>
      <c r="AL353" s="273">
        <v>0.37306978257906337</v>
      </c>
      <c r="AM353" s="273">
        <v>0.942577345961659</v>
      </c>
      <c r="AN353" s="273">
        <v>0</v>
      </c>
      <c r="AO353" s="273">
        <v>0</v>
      </c>
      <c r="AP353" s="273">
        <f t="shared" si="4"/>
        <v>0</v>
      </c>
      <c r="AQ353" s="273">
        <v>113972.07233760692</v>
      </c>
      <c r="AR353" s="273">
        <v>2423247.7868810156</v>
      </c>
      <c r="AS353" s="273">
        <v>1</v>
      </c>
      <c r="AT353" s="273">
        <v>7516</v>
      </c>
      <c r="AU353" s="273">
        <v>0</v>
      </c>
      <c r="AV353" s="273">
        <v>0</v>
      </c>
      <c r="AW353" s="273">
        <v>0</v>
      </c>
      <c r="AX353" s="273">
        <v>0</v>
      </c>
      <c r="AY353" s="273">
        <v>732.37</v>
      </c>
      <c r="AZ353" s="273">
        <v>10.262572197113482</v>
      </c>
      <c r="BA353" s="273">
        <v>4310</v>
      </c>
      <c r="BB353" s="273">
        <v>0.5734433209153805</v>
      </c>
      <c r="BC353" s="273">
        <v>3</v>
      </c>
      <c r="BD353" s="273">
        <v>0</v>
      </c>
      <c r="BE353" s="273">
        <v>7429</v>
      </c>
      <c r="BF353" s="273">
        <v>7516</v>
      </c>
      <c r="BG353" s="273">
        <v>0.011710862834836452</v>
      </c>
      <c r="BH353" s="273">
        <v>0</v>
      </c>
      <c r="BI353" s="273">
        <v>0</v>
      </c>
      <c r="BJ353" s="273">
        <v>0</v>
      </c>
      <c r="BK353" s="273">
        <v>1492955.0310810977</v>
      </c>
      <c r="BL353" s="273">
        <v>7827.09</v>
      </c>
    </row>
    <row r="354" spans="6:64" s="273" customFormat="1" ht="12.75">
      <c r="F354" s="273">
        <v>895</v>
      </c>
      <c r="G354" s="273" t="s">
        <v>289</v>
      </c>
      <c r="H354" s="273">
        <v>1008</v>
      </c>
      <c r="I354" s="273">
        <v>142</v>
      </c>
      <c r="J354" s="273">
        <v>887</v>
      </c>
      <c r="K354" s="273">
        <v>498</v>
      </c>
      <c r="L354" s="273">
        <v>11196</v>
      </c>
      <c r="M354" s="273">
        <v>1989</v>
      </c>
      <c r="N354" s="273">
        <v>1100</v>
      </c>
      <c r="O354" s="273">
        <v>392</v>
      </c>
      <c r="P354" s="273">
        <v>15685</v>
      </c>
      <c r="Q354" s="273">
        <v>3</v>
      </c>
      <c r="R354" s="273">
        <v>9</v>
      </c>
      <c r="S354" s="273">
        <v>502.38</v>
      </c>
      <c r="T354" s="273">
        <v>31.221386201680005</v>
      </c>
      <c r="U354" s="273">
        <v>1</v>
      </c>
      <c r="V354" s="273">
        <v>0</v>
      </c>
      <c r="W354" s="273">
        <v>6509</v>
      </c>
      <c r="X354" s="273">
        <v>307</v>
      </c>
      <c r="Y354" s="273">
        <v>49</v>
      </c>
      <c r="Z354" s="273">
        <v>0.9930987843502582</v>
      </c>
      <c r="AA354" s="273">
        <v>29</v>
      </c>
      <c r="AB354" s="273">
        <v>29</v>
      </c>
      <c r="AC354" s="273">
        <v>1.1961444966440247</v>
      </c>
      <c r="AD354" s="273">
        <v>822</v>
      </c>
      <c r="AE354" s="273">
        <v>130</v>
      </c>
      <c r="AF354" s="273">
        <v>42</v>
      </c>
      <c r="AG354" s="273">
        <v>3</v>
      </c>
      <c r="AH354" s="273">
        <v>997</v>
      </c>
      <c r="AI354" s="273">
        <v>1.263857565468564</v>
      </c>
      <c r="AJ354" s="273">
        <v>7426</v>
      </c>
      <c r="AK354" s="273">
        <v>699</v>
      </c>
      <c r="AL354" s="273">
        <v>0.9959064186272049</v>
      </c>
      <c r="AM354" s="273">
        <v>1.1506416067174</v>
      </c>
      <c r="AN354" s="273">
        <v>0</v>
      </c>
      <c r="AO354" s="273">
        <v>0</v>
      </c>
      <c r="AP354" s="273">
        <f t="shared" si="4"/>
        <v>0</v>
      </c>
      <c r="AQ354" s="273">
        <v>-127042.48566932231</v>
      </c>
      <c r="AR354" s="273">
        <v>-193390.33805333398</v>
      </c>
      <c r="AS354" s="273">
        <v>1</v>
      </c>
      <c r="AT354" s="273">
        <v>15685</v>
      </c>
      <c r="AU354" s="273">
        <v>1</v>
      </c>
      <c r="AV354" s="273">
        <v>720</v>
      </c>
      <c r="AW354" s="273">
        <v>0.04590372967803634</v>
      </c>
      <c r="AX354" s="273">
        <v>0</v>
      </c>
      <c r="AY354" s="273">
        <v>502.38</v>
      </c>
      <c r="AZ354" s="273">
        <v>31.221386201680005</v>
      </c>
      <c r="BA354" s="273">
        <v>11681</v>
      </c>
      <c r="BB354" s="273">
        <v>0.7447242588460312</v>
      </c>
      <c r="BC354" s="273">
        <v>0</v>
      </c>
      <c r="BD354" s="273">
        <v>0</v>
      </c>
      <c r="BE354" s="273">
        <v>15886</v>
      </c>
      <c r="BF354" s="273">
        <v>15685</v>
      </c>
      <c r="BG354" s="273">
        <v>-0.012652650132191866</v>
      </c>
      <c r="BH354" s="273">
        <v>0</v>
      </c>
      <c r="BI354" s="273">
        <v>1</v>
      </c>
      <c r="BJ354" s="273">
        <v>6.37551801083838E-05</v>
      </c>
      <c r="BK354" s="273">
        <v>2626209.3808145705</v>
      </c>
      <c r="BL354" s="273">
        <v>6028.71</v>
      </c>
    </row>
    <row r="355" spans="6:64" s="273" customFormat="1" ht="12.75">
      <c r="F355" s="273">
        <v>785</v>
      </c>
      <c r="G355" s="273" t="s">
        <v>290</v>
      </c>
      <c r="H355" s="273">
        <v>177</v>
      </c>
      <c r="I355" s="273">
        <v>35</v>
      </c>
      <c r="J355" s="273">
        <v>200</v>
      </c>
      <c r="K355" s="273">
        <v>130</v>
      </c>
      <c r="L355" s="273">
        <v>2240</v>
      </c>
      <c r="M355" s="273">
        <v>460</v>
      </c>
      <c r="N355" s="273">
        <v>330</v>
      </c>
      <c r="O355" s="273">
        <v>107</v>
      </c>
      <c r="P355" s="273">
        <v>3314</v>
      </c>
      <c r="Q355" s="273">
        <v>0</v>
      </c>
      <c r="R355" s="273">
        <v>0</v>
      </c>
      <c r="S355" s="273">
        <v>1302.64</v>
      </c>
      <c r="T355" s="273">
        <v>2.5440643616041267</v>
      </c>
      <c r="U355" s="273">
        <v>1</v>
      </c>
      <c r="V355" s="273">
        <v>0</v>
      </c>
      <c r="W355" s="273">
        <v>1066</v>
      </c>
      <c r="X355" s="273">
        <v>183</v>
      </c>
      <c r="Y355" s="273">
        <v>19</v>
      </c>
      <c r="Z355" s="273">
        <v>0.8514837114887074</v>
      </c>
      <c r="AA355" s="273">
        <v>8</v>
      </c>
      <c r="AB355" s="273">
        <v>8</v>
      </c>
      <c r="AC355" s="273">
        <v>1.5617361188572225</v>
      </c>
      <c r="AD355" s="273">
        <v>267</v>
      </c>
      <c r="AE355" s="273">
        <v>28</v>
      </c>
      <c r="AF355" s="273">
        <v>7</v>
      </c>
      <c r="AG355" s="273">
        <v>1</v>
      </c>
      <c r="AH355" s="273">
        <v>303</v>
      </c>
      <c r="AI355" s="273">
        <v>1.8179319467320036</v>
      </c>
      <c r="AJ355" s="273">
        <v>1322</v>
      </c>
      <c r="AK355" s="273">
        <v>196</v>
      </c>
      <c r="AL355" s="273">
        <v>1.5686314452743408</v>
      </c>
      <c r="AM355" s="273">
        <v>1.73086175230098</v>
      </c>
      <c r="AN355" s="273">
        <v>0.0800000000000001</v>
      </c>
      <c r="AO355" s="273">
        <v>0</v>
      </c>
      <c r="AP355" s="273">
        <f t="shared" si="4"/>
        <v>0.0800000000000001</v>
      </c>
      <c r="AQ355" s="273">
        <v>-70951.2395362258</v>
      </c>
      <c r="AR355" s="273">
        <v>2517996.244442857</v>
      </c>
      <c r="AS355" s="273">
        <v>1</v>
      </c>
      <c r="AT355" s="273">
        <v>3314</v>
      </c>
      <c r="AU355" s="273">
        <v>1</v>
      </c>
      <c r="AV355" s="273">
        <v>118</v>
      </c>
      <c r="AW355" s="273">
        <v>0.0356065178032589</v>
      </c>
      <c r="AX355" s="273">
        <v>1.4197166666666665</v>
      </c>
      <c r="AY355" s="273">
        <v>1302.64</v>
      </c>
      <c r="AZ355" s="273">
        <v>2.5440643616041267</v>
      </c>
      <c r="BA355" s="273">
        <v>1381</v>
      </c>
      <c r="BB355" s="273">
        <v>0.41671695835847916</v>
      </c>
      <c r="BC355" s="273">
        <v>0</v>
      </c>
      <c r="BD355" s="273">
        <v>0</v>
      </c>
      <c r="BE355" s="273">
        <v>3470</v>
      </c>
      <c r="BF355" s="273">
        <v>3314</v>
      </c>
      <c r="BG355" s="273">
        <v>-0.044956772334293946</v>
      </c>
      <c r="BH355" s="273">
        <v>0</v>
      </c>
      <c r="BI355" s="273">
        <v>0</v>
      </c>
      <c r="BJ355" s="273">
        <v>0</v>
      </c>
      <c r="BK355" s="273">
        <v>756349.5406780251</v>
      </c>
      <c r="BL355" s="273">
        <v>8010.15</v>
      </c>
    </row>
    <row r="356" spans="6:64" s="273" customFormat="1" ht="12.75">
      <c r="F356" s="273">
        <v>905</v>
      </c>
      <c r="G356" s="273" t="s">
        <v>291</v>
      </c>
      <c r="H356" s="273">
        <v>5176</v>
      </c>
      <c r="I356" s="273">
        <v>722</v>
      </c>
      <c r="J356" s="273">
        <v>4046</v>
      </c>
      <c r="K356" s="273">
        <v>2012</v>
      </c>
      <c r="L356" s="273">
        <v>48596</v>
      </c>
      <c r="M356" s="273">
        <v>6040</v>
      </c>
      <c r="N356" s="273">
        <v>3775</v>
      </c>
      <c r="O356" s="273">
        <v>1586</v>
      </c>
      <c r="P356" s="273">
        <v>65173</v>
      </c>
      <c r="Q356" s="273">
        <v>1453</v>
      </c>
      <c r="R356" s="273">
        <v>545</v>
      </c>
      <c r="S356" s="273">
        <v>364.48</v>
      </c>
      <c r="T356" s="273">
        <v>178.81090869183492</v>
      </c>
      <c r="U356" s="273">
        <v>0</v>
      </c>
      <c r="V356" s="273">
        <v>1</v>
      </c>
      <c r="W356" s="273">
        <v>28640</v>
      </c>
      <c r="X356" s="273">
        <v>223</v>
      </c>
      <c r="Y356" s="273">
        <v>246</v>
      </c>
      <c r="Z356" s="273">
        <v>1.0333538377248284</v>
      </c>
      <c r="AA356" s="273">
        <v>58</v>
      </c>
      <c r="AB356" s="273">
        <v>58</v>
      </c>
      <c r="AC356" s="273">
        <v>0.5757453678628122</v>
      </c>
      <c r="AD356" s="273">
        <v>2792</v>
      </c>
      <c r="AE356" s="273">
        <v>383</v>
      </c>
      <c r="AF356" s="273">
        <v>179</v>
      </c>
      <c r="AG356" s="273">
        <v>12</v>
      </c>
      <c r="AH356" s="273">
        <v>3366</v>
      </c>
      <c r="AI356" s="273">
        <v>1.0269135780715215</v>
      </c>
      <c r="AJ356" s="273">
        <v>31426</v>
      </c>
      <c r="AK356" s="273">
        <v>2338</v>
      </c>
      <c r="AL356" s="273">
        <v>0.787139490274198</v>
      </c>
      <c r="AM356" s="273">
        <v>0.8904502403004476</v>
      </c>
      <c r="AN356" s="273">
        <v>0</v>
      </c>
      <c r="AO356" s="273">
        <v>0</v>
      </c>
      <c r="AP356" s="273">
        <f t="shared" si="4"/>
        <v>0</v>
      </c>
      <c r="AQ356" s="273">
        <v>274345.0710465126</v>
      </c>
      <c r="AR356" s="273">
        <v>-18024696.518983524</v>
      </c>
      <c r="AS356" s="273">
        <v>1</v>
      </c>
      <c r="AT356" s="273">
        <v>65173</v>
      </c>
      <c r="AU356" s="273">
        <v>0</v>
      </c>
      <c r="AV356" s="273">
        <v>0</v>
      </c>
      <c r="AW356" s="273">
        <v>0</v>
      </c>
      <c r="AX356" s="273">
        <v>0</v>
      </c>
      <c r="AY356" s="273">
        <v>364.48</v>
      </c>
      <c r="AZ356" s="273">
        <v>178.81090869183492</v>
      </c>
      <c r="BA356" s="273">
        <v>63193</v>
      </c>
      <c r="BB356" s="273">
        <v>0.9696193208844153</v>
      </c>
      <c r="BC356" s="273">
        <v>1</v>
      </c>
      <c r="BD356" s="273">
        <v>0</v>
      </c>
      <c r="BE356" s="273">
        <v>63329</v>
      </c>
      <c r="BF356" s="273">
        <v>65173</v>
      </c>
      <c r="BG356" s="273">
        <v>0.02911778174296136</v>
      </c>
      <c r="BH356" s="273">
        <v>0</v>
      </c>
      <c r="BI356" s="273">
        <v>8</v>
      </c>
      <c r="BJ356" s="273">
        <v>0.00012275021864882696</v>
      </c>
      <c r="BK356" s="273">
        <v>8843750.948159799</v>
      </c>
      <c r="BL356" s="273">
        <v>6403.02</v>
      </c>
    </row>
    <row r="357" spans="6:64" s="273" customFormat="1" ht="12.75">
      <c r="F357" s="273">
        <v>908</v>
      </c>
      <c r="G357" s="273" t="s">
        <v>292</v>
      </c>
      <c r="H357" s="273">
        <v>1599</v>
      </c>
      <c r="I357" s="273">
        <v>221</v>
      </c>
      <c r="J357" s="273">
        <v>1382</v>
      </c>
      <c r="K357" s="273">
        <v>662</v>
      </c>
      <c r="L357" s="273">
        <v>14976</v>
      </c>
      <c r="M357" s="273">
        <v>2468</v>
      </c>
      <c r="N357" s="273">
        <v>1440</v>
      </c>
      <c r="O357" s="273">
        <v>539</v>
      </c>
      <c r="P357" s="273">
        <v>21022</v>
      </c>
      <c r="Q357" s="273">
        <v>5</v>
      </c>
      <c r="R357" s="273">
        <v>37</v>
      </c>
      <c r="S357" s="273">
        <v>271.8</v>
      </c>
      <c r="T357" s="273">
        <v>77.34363502575422</v>
      </c>
      <c r="U357" s="273">
        <v>0</v>
      </c>
      <c r="V357" s="273">
        <v>0</v>
      </c>
      <c r="W357" s="273">
        <v>7935</v>
      </c>
      <c r="X357" s="273">
        <v>137</v>
      </c>
      <c r="Y357" s="273">
        <v>67</v>
      </c>
      <c r="Z357" s="273">
        <v>1.0235487892616315</v>
      </c>
      <c r="AA357" s="273">
        <v>33</v>
      </c>
      <c r="AB357" s="273">
        <v>33</v>
      </c>
      <c r="AC357" s="273">
        <v>1.0155705060797235</v>
      </c>
      <c r="AD357" s="273">
        <v>1036</v>
      </c>
      <c r="AE357" s="273">
        <v>131</v>
      </c>
      <c r="AF357" s="273">
        <v>34</v>
      </c>
      <c r="AG357" s="273">
        <v>13</v>
      </c>
      <c r="AH357" s="273">
        <v>1214</v>
      </c>
      <c r="AI357" s="273">
        <v>1.14823862606994</v>
      </c>
      <c r="AJ357" s="273">
        <v>9516</v>
      </c>
      <c r="AK357" s="273">
        <v>1164</v>
      </c>
      <c r="AL357" s="273">
        <v>1.294180487127865</v>
      </c>
      <c r="AM357" s="273">
        <v>0.871125488097799</v>
      </c>
      <c r="AN357" s="273">
        <v>0</v>
      </c>
      <c r="AO357" s="273">
        <v>0</v>
      </c>
      <c r="AP357" s="273">
        <f t="shared" si="4"/>
        <v>0</v>
      </c>
      <c r="AQ357" s="273">
        <v>29654.960622604936</v>
      </c>
      <c r="AR357" s="273">
        <v>-796668.1010763264</v>
      </c>
      <c r="AS357" s="273">
        <v>1</v>
      </c>
      <c r="AT357" s="273">
        <v>21022</v>
      </c>
      <c r="AU357" s="273">
        <v>0</v>
      </c>
      <c r="AV357" s="273">
        <v>0</v>
      </c>
      <c r="AW357" s="273">
        <v>0</v>
      </c>
      <c r="AX357" s="273">
        <v>0</v>
      </c>
      <c r="AY357" s="273">
        <v>271.8</v>
      </c>
      <c r="AZ357" s="273">
        <v>77.34363502575422</v>
      </c>
      <c r="BA357" s="273">
        <v>18291</v>
      </c>
      <c r="BB357" s="273">
        <v>0.8700884787365617</v>
      </c>
      <c r="BC357" s="273">
        <v>0</v>
      </c>
      <c r="BD357" s="273">
        <v>0</v>
      </c>
      <c r="BE357" s="273">
        <v>20542</v>
      </c>
      <c r="BF357" s="273">
        <v>21022</v>
      </c>
      <c r="BG357" s="273">
        <v>0.023366760782786485</v>
      </c>
      <c r="BH357" s="273">
        <v>0</v>
      </c>
      <c r="BI357" s="273">
        <v>0</v>
      </c>
      <c r="BJ357" s="273">
        <v>0</v>
      </c>
      <c r="BK357" s="273">
        <v>3181745.262449002</v>
      </c>
      <c r="BL357" s="273">
        <v>5870.09</v>
      </c>
    </row>
    <row r="358" spans="6:64" s="273" customFormat="1" ht="12.75">
      <c r="F358" s="273">
        <v>911</v>
      </c>
      <c r="G358" s="273" t="s">
        <v>293</v>
      </c>
      <c r="H358" s="273">
        <v>139</v>
      </c>
      <c r="I358" s="273">
        <v>23</v>
      </c>
      <c r="J358" s="273">
        <v>132</v>
      </c>
      <c r="K358" s="273">
        <v>62</v>
      </c>
      <c r="L358" s="273">
        <v>1644</v>
      </c>
      <c r="M358" s="273">
        <v>308</v>
      </c>
      <c r="N358" s="273">
        <v>247</v>
      </c>
      <c r="O358" s="273">
        <v>99</v>
      </c>
      <c r="P358" s="273">
        <v>2437</v>
      </c>
      <c r="Q358" s="273">
        <v>0</v>
      </c>
      <c r="R358" s="273">
        <v>2</v>
      </c>
      <c r="S358" s="273">
        <v>800.33</v>
      </c>
      <c r="T358" s="273">
        <v>3.04499393999975</v>
      </c>
      <c r="U358" s="273">
        <v>0</v>
      </c>
      <c r="V358" s="273">
        <v>0</v>
      </c>
      <c r="W358" s="273">
        <v>831</v>
      </c>
      <c r="X358" s="273">
        <v>233</v>
      </c>
      <c r="Y358" s="273">
        <v>14</v>
      </c>
      <c r="Z358" s="273">
        <v>0.7382978947790283</v>
      </c>
      <c r="AA358" s="273">
        <v>3</v>
      </c>
      <c r="AB358" s="273">
        <v>2</v>
      </c>
      <c r="AC358" s="273">
        <v>0.5309390129147349</v>
      </c>
      <c r="AD358" s="273">
        <v>216</v>
      </c>
      <c r="AE358" s="273">
        <v>13</v>
      </c>
      <c r="AF358" s="273">
        <v>3</v>
      </c>
      <c r="AG358" s="273">
        <v>3</v>
      </c>
      <c r="AH358" s="273">
        <v>235</v>
      </c>
      <c r="AI358" s="273">
        <v>1.9173430796608084</v>
      </c>
      <c r="AJ358" s="273">
        <v>991</v>
      </c>
      <c r="AK358" s="273">
        <v>143</v>
      </c>
      <c r="AL358" s="273">
        <v>1.5267174993478707</v>
      </c>
      <c r="AM358" s="273">
        <v>1.85733805035647</v>
      </c>
      <c r="AN358" s="273">
        <v>0.0800000000000001</v>
      </c>
      <c r="AO358" s="273">
        <v>0</v>
      </c>
      <c r="AP358" s="273">
        <f t="shared" si="4"/>
        <v>0.0800000000000001</v>
      </c>
      <c r="AQ358" s="273">
        <v>96380.14033571817</v>
      </c>
      <c r="AR358" s="273">
        <v>1737713.6513698623</v>
      </c>
      <c r="AS358" s="273">
        <v>0</v>
      </c>
      <c r="AT358" s="273">
        <v>2437</v>
      </c>
      <c r="AU358" s="273">
        <v>0</v>
      </c>
      <c r="AV358" s="273">
        <v>0</v>
      </c>
      <c r="AW358" s="273">
        <v>0</v>
      </c>
      <c r="AX358" s="273">
        <v>1.0525833333333332</v>
      </c>
      <c r="AY358" s="273">
        <v>800.33</v>
      </c>
      <c r="AZ358" s="273">
        <v>3.04499393999975</v>
      </c>
      <c r="BA358" s="273">
        <v>1109</v>
      </c>
      <c r="BB358" s="273">
        <v>0.4550677061961428</v>
      </c>
      <c r="BC358" s="273">
        <v>0</v>
      </c>
      <c r="BD358" s="273">
        <v>0</v>
      </c>
      <c r="BE358" s="273">
        <v>2508</v>
      </c>
      <c r="BF358" s="273">
        <v>2437</v>
      </c>
      <c r="BG358" s="273">
        <v>-0.028309409888357256</v>
      </c>
      <c r="BH358" s="273">
        <v>0</v>
      </c>
      <c r="BI358" s="273">
        <v>0</v>
      </c>
      <c r="BJ358" s="273">
        <v>0</v>
      </c>
      <c r="BK358" s="273">
        <v>713141.2227280375</v>
      </c>
      <c r="BL358" s="273">
        <v>7901.59</v>
      </c>
    </row>
    <row r="359" spans="6:64" s="273" customFormat="1" ht="12.75">
      <c r="F359" s="273">
        <v>92</v>
      </c>
      <c r="G359" s="273" t="s">
        <v>294</v>
      </c>
      <c r="H359" s="273">
        <v>18494</v>
      </c>
      <c r="I359" s="273">
        <v>2423</v>
      </c>
      <c r="J359" s="273">
        <v>13941</v>
      </c>
      <c r="K359" s="273">
        <v>6863</v>
      </c>
      <c r="L359" s="273">
        <v>158629</v>
      </c>
      <c r="M359" s="273">
        <v>16539</v>
      </c>
      <c r="N359" s="273">
        <v>7427</v>
      </c>
      <c r="O359" s="273">
        <v>1912</v>
      </c>
      <c r="P359" s="273">
        <v>203001</v>
      </c>
      <c r="Q359" s="273">
        <v>600</v>
      </c>
      <c r="R359" s="273">
        <v>2922</v>
      </c>
      <c r="S359" s="273">
        <v>238.37</v>
      </c>
      <c r="T359" s="273">
        <v>851.6214288710828</v>
      </c>
      <c r="U359" s="273">
        <v>0</v>
      </c>
      <c r="V359" s="273">
        <v>1</v>
      </c>
      <c r="W359" s="273">
        <v>98370</v>
      </c>
      <c r="X359" s="273">
        <v>188</v>
      </c>
      <c r="Y359" s="273">
        <v>920</v>
      </c>
      <c r="Z359" s="273">
        <v>1.0387243942478184</v>
      </c>
      <c r="AA359" s="273">
        <v>376</v>
      </c>
      <c r="AB359" s="273">
        <v>376</v>
      </c>
      <c r="AC359" s="273">
        <v>1.1982842173238717</v>
      </c>
      <c r="AD359" s="273">
        <v>4526</v>
      </c>
      <c r="AE359" s="273">
        <v>1249</v>
      </c>
      <c r="AF359" s="273">
        <v>422</v>
      </c>
      <c r="AG359" s="273">
        <v>47</v>
      </c>
      <c r="AH359" s="273">
        <v>6244</v>
      </c>
      <c r="AI359" s="273">
        <v>0.611578506878184</v>
      </c>
      <c r="AJ359" s="273">
        <v>108283</v>
      </c>
      <c r="AK359" s="273">
        <v>8878</v>
      </c>
      <c r="AL359" s="273">
        <v>0.8674634033351419</v>
      </c>
      <c r="AM359" s="273">
        <v>0.735804927178662</v>
      </c>
      <c r="AN359" s="273">
        <v>0</v>
      </c>
      <c r="AO359" s="273">
        <v>0</v>
      </c>
      <c r="AP359" s="273">
        <f t="shared" si="4"/>
        <v>0</v>
      </c>
      <c r="AQ359" s="273">
        <v>-133128.08959154785</v>
      </c>
      <c r="AR359" s="273">
        <v>-64238898.92634718</v>
      </c>
      <c r="AS359" s="273">
        <v>1</v>
      </c>
      <c r="AT359" s="273">
        <v>203001</v>
      </c>
      <c r="AU359" s="273">
        <v>0</v>
      </c>
      <c r="AV359" s="273">
        <v>0</v>
      </c>
      <c r="AW359" s="273">
        <v>0</v>
      </c>
      <c r="AX359" s="273">
        <v>0</v>
      </c>
      <c r="AY359" s="273">
        <v>238.37</v>
      </c>
      <c r="AZ359" s="273">
        <v>851.6214288710828</v>
      </c>
      <c r="BA359" s="273">
        <v>199164</v>
      </c>
      <c r="BB359" s="273">
        <v>0.9810986152777572</v>
      </c>
      <c r="BC359" s="273">
        <v>1</v>
      </c>
      <c r="BD359" s="273">
        <v>0</v>
      </c>
      <c r="BE359" s="273">
        <v>195397</v>
      </c>
      <c r="BF359" s="273">
        <v>203001</v>
      </c>
      <c r="BG359" s="273">
        <v>0.03891564353598059</v>
      </c>
      <c r="BH359" s="273">
        <v>0</v>
      </c>
      <c r="BI359" s="273">
        <v>14</v>
      </c>
      <c r="BJ359" s="273">
        <v>6.896517751144084E-05</v>
      </c>
      <c r="BK359" s="273">
        <v>21116956.62523785</v>
      </c>
      <c r="BL359" s="273">
        <v>6311</v>
      </c>
    </row>
    <row r="360" spans="6:64" s="273" customFormat="1" ht="12.75">
      <c r="F360" s="273">
        <v>915</v>
      </c>
      <c r="G360" s="273" t="s">
        <v>295</v>
      </c>
      <c r="H360" s="273">
        <v>1358</v>
      </c>
      <c r="I360" s="273">
        <v>202</v>
      </c>
      <c r="J360" s="273">
        <v>1290</v>
      </c>
      <c r="K360" s="273">
        <v>731</v>
      </c>
      <c r="L360" s="273">
        <v>16144</v>
      </c>
      <c r="M360" s="273">
        <v>2646</v>
      </c>
      <c r="N360" s="273">
        <v>1854</v>
      </c>
      <c r="O360" s="273">
        <v>604</v>
      </c>
      <c r="P360" s="273">
        <v>22606</v>
      </c>
      <c r="Q360" s="273">
        <v>5</v>
      </c>
      <c r="R360" s="273">
        <v>36</v>
      </c>
      <c r="S360" s="273">
        <v>385.57</v>
      </c>
      <c r="T360" s="273">
        <v>58.63008014108981</v>
      </c>
      <c r="U360" s="273">
        <v>0</v>
      </c>
      <c r="V360" s="273">
        <v>0</v>
      </c>
      <c r="W360" s="273">
        <v>8158</v>
      </c>
      <c r="X360" s="273">
        <v>189</v>
      </c>
      <c r="Y360" s="273">
        <v>99</v>
      </c>
      <c r="Z360" s="273">
        <v>1.013469861275343</v>
      </c>
      <c r="AA360" s="273">
        <v>54</v>
      </c>
      <c r="AB360" s="273">
        <v>54</v>
      </c>
      <c r="AC360" s="273">
        <v>1.5453975099874653</v>
      </c>
      <c r="AD360" s="273">
        <v>1357</v>
      </c>
      <c r="AE360" s="273">
        <v>148</v>
      </c>
      <c r="AF360" s="273">
        <v>47</v>
      </c>
      <c r="AG360" s="273">
        <v>8</v>
      </c>
      <c r="AH360" s="273">
        <v>1560</v>
      </c>
      <c r="AI360" s="273">
        <v>1.3721082395387572</v>
      </c>
      <c r="AJ360" s="273">
        <v>10089</v>
      </c>
      <c r="AK360" s="273">
        <v>1556</v>
      </c>
      <c r="AL360" s="273">
        <v>1.6317655919133829</v>
      </c>
      <c r="AM360" s="273">
        <v>1.47460204436546</v>
      </c>
      <c r="AN360" s="273">
        <v>0</v>
      </c>
      <c r="AO360" s="273">
        <v>0</v>
      </c>
      <c r="AP360" s="273">
        <f t="shared" si="4"/>
        <v>0</v>
      </c>
      <c r="AQ360" s="273">
        <v>-27351.97135592252</v>
      </c>
      <c r="AR360" s="273">
        <v>3547954.893779997</v>
      </c>
      <c r="AS360" s="273">
        <v>1</v>
      </c>
      <c r="AT360" s="273">
        <v>22606</v>
      </c>
      <c r="AU360" s="273">
        <v>0</v>
      </c>
      <c r="AV360" s="273">
        <v>0</v>
      </c>
      <c r="AW360" s="273">
        <v>0</v>
      </c>
      <c r="AX360" s="273">
        <v>0</v>
      </c>
      <c r="AY360" s="273">
        <v>385.57</v>
      </c>
      <c r="AZ360" s="273">
        <v>58.63008014108981</v>
      </c>
      <c r="BA360" s="273">
        <v>20542</v>
      </c>
      <c r="BB360" s="273">
        <v>0.9086968061576572</v>
      </c>
      <c r="BC360" s="273">
        <v>0</v>
      </c>
      <c r="BD360" s="273">
        <v>0</v>
      </c>
      <c r="BE360" s="273">
        <v>23182</v>
      </c>
      <c r="BF360" s="273">
        <v>22606</v>
      </c>
      <c r="BG360" s="273">
        <v>-0.02484686394616513</v>
      </c>
      <c r="BH360" s="273">
        <v>0</v>
      </c>
      <c r="BI360" s="273">
        <v>0</v>
      </c>
      <c r="BJ360" s="273">
        <v>0</v>
      </c>
      <c r="BK360" s="273">
        <v>3912514.4111698614</v>
      </c>
      <c r="BL360" s="273">
        <v>5876.31</v>
      </c>
    </row>
    <row r="361" spans="6:64" s="273" customFormat="1" ht="12.75">
      <c r="F361" s="273">
        <v>918</v>
      </c>
      <c r="G361" s="273" t="s">
        <v>296</v>
      </c>
      <c r="H361" s="273">
        <v>152</v>
      </c>
      <c r="I361" s="273">
        <v>19</v>
      </c>
      <c r="J361" s="273">
        <v>143</v>
      </c>
      <c r="K361" s="273">
        <v>82</v>
      </c>
      <c r="L361" s="273">
        <v>1651</v>
      </c>
      <c r="M361" s="273">
        <v>284</v>
      </c>
      <c r="N361" s="273">
        <v>191</v>
      </c>
      <c r="O361" s="273">
        <v>75</v>
      </c>
      <c r="P361" s="273">
        <v>2353</v>
      </c>
      <c r="Q361" s="273">
        <v>7</v>
      </c>
      <c r="R361" s="273">
        <v>2</v>
      </c>
      <c r="S361" s="273">
        <v>188.77</v>
      </c>
      <c r="T361" s="273">
        <v>12.464904380992742</v>
      </c>
      <c r="U361" s="273">
        <v>0</v>
      </c>
      <c r="V361" s="273">
        <v>0</v>
      </c>
      <c r="W361" s="273">
        <v>995</v>
      </c>
      <c r="X361" s="273">
        <v>151</v>
      </c>
      <c r="Y361" s="273">
        <v>14</v>
      </c>
      <c r="Z361" s="273">
        <v>0.8763444051867887</v>
      </c>
      <c r="AA361" s="273">
        <v>5</v>
      </c>
      <c r="AB361" s="273">
        <v>5</v>
      </c>
      <c r="AC361" s="273">
        <v>1.3747326545614202</v>
      </c>
      <c r="AD361" s="273">
        <v>139</v>
      </c>
      <c r="AE361" s="273">
        <v>26</v>
      </c>
      <c r="AF361" s="273">
        <v>2</v>
      </c>
      <c r="AG361" s="273">
        <v>2</v>
      </c>
      <c r="AH361" s="273">
        <v>169</v>
      </c>
      <c r="AI361" s="273">
        <v>1.4280791373394632</v>
      </c>
      <c r="AJ361" s="273">
        <v>1083</v>
      </c>
      <c r="AK361" s="273">
        <v>66</v>
      </c>
      <c r="AL361" s="273">
        <v>0.6447803289383081</v>
      </c>
      <c r="AM361" s="273">
        <v>1.06526611910644</v>
      </c>
      <c r="AN361" s="273">
        <v>0</v>
      </c>
      <c r="AO361" s="273">
        <v>0</v>
      </c>
      <c r="AP361" s="273">
        <f t="shared" si="4"/>
        <v>0</v>
      </c>
      <c r="AQ361" s="273">
        <v>4954.212569518015</v>
      </c>
      <c r="AR361" s="273">
        <v>1643196.197790244</v>
      </c>
      <c r="AS361" s="273">
        <v>1</v>
      </c>
      <c r="AT361" s="273">
        <v>2353</v>
      </c>
      <c r="AU361" s="273">
        <v>0</v>
      </c>
      <c r="AV361" s="273">
        <v>0</v>
      </c>
      <c r="AW361" s="273">
        <v>0</v>
      </c>
      <c r="AX361" s="273">
        <v>0</v>
      </c>
      <c r="AY361" s="273">
        <v>188.77</v>
      </c>
      <c r="AZ361" s="273">
        <v>12.464904380992742</v>
      </c>
      <c r="BA361" s="273">
        <v>1111</v>
      </c>
      <c r="BB361" s="273">
        <v>0.472163195920102</v>
      </c>
      <c r="BC361" s="273">
        <v>0</v>
      </c>
      <c r="BD361" s="273">
        <v>0</v>
      </c>
      <c r="BE361" s="273">
        <v>2445</v>
      </c>
      <c r="BF361" s="273">
        <v>2353</v>
      </c>
      <c r="BG361" s="273">
        <v>-0.0376278118609407</v>
      </c>
      <c r="BH361" s="273">
        <v>0</v>
      </c>
      <c r="BI361" s="273">
        <v>0</v>
      </c>
      <c r="BJ361" s="273">
        <v>0</v>
      </c>
      <c r="BK361" s="273">
        <v>505313.10840749176</v>
      </c>
      <c r="BL361" s="273">
        <v>6672.69</v>
      </c>
    </row>
    <row r="362" spans="6:64" s="273" customFormat="1" ht="12.75">
      <c r="F362" s="273">
        <v>921</v>
      </c>
      <c r="G362" s="273" t="s">
        <v>297</v>
      </c>
      <c r="H362" s="273">
        <v>121</v>
      </c>
      <c r="I362" s="273">
        <v>11</v>
      </c>
      <c r="J362" s="273">
        <v>110</v>
      </c>
      <c r="K362" s="273">
        <v>74</v>
      </c>
      <c r="L362" s="273">
        <v>1521</v>
      </c>
      <c r="M362" s="273">
        <v>344</v>
      </c>
      <c r="N362" s="273">
        <v>291</v>
      </c>
      <c r="O362" s="273">
        <v>113</v>
      </c>
      <c r="P362" s="273">
        <v>2390</v>
      </c>
      <c r="Q362" s="273">
        <v>0</v>
      </c>
      <c r="R362" s="273">
        <v>2</v>
      </c>
      <c r="S362" s="273">
        <v>422.63</v>
      </c>
      <c r="T362" s="273">
        <v>5.655064713815867</v>
      </c>
      <c r="U362" s="273">
        <v>0</v>
      </c>
      <c r="V362" s="273">
        <v>0</v>
      </c>
      <c r="W362" s="273">
        <v>795</v>
      </c>
      <c r="X362" s="273">
        <v>194</v>
      </c>
      <c r="Y362" s="273">
        <v>8</v>
      </c>
      <c r="Z362" s="273">
        <v>0.7836233554813773</v>
      </c>
      <c r="AA362" s="273">
        <v>2</v>
      </c>
      <c r="AB362" s="273">
        <v>2</v>
      </c>
      <c r="AC362" s="273">
        <v>0.5413800730013426</v>
      </c>
      <c r="AD362" s="273">
        <v>241</v>
      </c>
      <c r="AE362" s="273">
        <v>8</v>
      </c>
      <c r="AF362" s="273">
        <v>2</v>
      </c>
      <c r="AG362" s="273">
        <v>2</v>
      </c>
      <c r="AH362" s="273">
        <v>253</v>
      </c>
      <c r="AI362" s="273">
        <v>2.104796521924237</v>
      </c>
      <c r="AJ362" s="273">
        <v>917</v>
      </c>
      <c r="AK362" s="273">
        <v>99</v>
      </c>
      <c r="AL362" s="273">
        <v>1.1422526110799143</v>
      </c>
      <c r="AM362" s="273">
        <v>2.01234753292683</v>
      </c>
      <c r="AN362" s="273">
        <v>0.05</v>
      </c>
      <c r="AO362" s="273">
        <v>0</v>
      </c>
      <c r="AP362" s="273">
        <f t="shared" si="4"/>
        <v>0.05</v>
      </c>
      <c r="AQ362" s="273">
        <v>186918.53762630746</v>
      </c>
      <c r="AR362" s="273">
        <v>2617421.3866299996</v>
      </c>
      <c r="AS362" s="273">
        <v>0</v>
      </c>
      <c r="AT362" s="273">
        <v>2390</v>
      </c>
      <c r="AU362" s="273">
        <v>0</v>
      </c>
      <c r="AV362" s="273">
        <v>0</v>
      </c>
      <c r="AW362" s="273">
        <v>0</v>
      </c>
      <c r="AX362" s="273">
        <v>0.7291500000000001</v>
      </c>
      <c r="AY362" s="273">
        <v>422.63</v>
      </c>
      <c r="AZ362" s="273">
        <v>5.655064713815867</v>
      </c>
      <c r="BA362" s="273">
        <v>896</v>
      </c>
      <c r="BB362" s="273">
        <v>0.37489539748953976</v>
      </c>
      <c r="BC362" s="273">
        <v>0</v>
      </c>
      <c r="BD362" s="273">
        <v>0</v>
      </c>
      <c r="BE362" s="273">
        <v>2437</v>
      </c>
      <c r="BF362" s="273">
        <v>2390</v>
      </c>
      <c r="BG362" s="273">
        <v>-0.01928600738613049</v>
      </c>
      <c r="BH362" s="273">
        <v>0</v>
      </c>
      <c r="BI362" s="273">
        <v>0</v>
      </c>
      <c r="BJ362" s="273">
        <v>0</v>
      </c>
      <c r="BK362" s="273">
        <v>522941.4421140953</v>
      </c>
      <c r="BL362" s="273">
        <v>7174.75</v>
      </c>
    </row>
    <row r="363" spans="6:64" s="273" customFormat="1" ht="12.75">
      <c r="F363" s="273">
        <v>922</v>
      </c>
      <c r="G363" s="273" t="s">
        <v>298</v>
      </c>
      <c r="H363" s="273">
        <v>475</v>
      </c>
      <c r="I363" s="273">
        <v>83</v>
      </c>
      <c r="J363" s="273">
        <v>453</v>
      </c>
      <c r="K363" s="273">
        <v>193</v>
      </c>
      <c r="L363" s="273">
        <v>3224</v>
      </c>
      <c r="M363" s="273">
        <v>338</v>
      </c>
      <c r="N363" s="273">
        <v>254</v>
      </c>
      <c r="O363" s="273">
        <v>92</v>
      </c>
      <c r="P363" s="273">
        <v>4383</v>
      </c>
      <c r="Q363" s="273">
        <v>0</v>
      </c>
      <c r="R363" s="273">
        <v>8</v>
      </c>
      <c r="S363" s="273">
        <v>300.91</v>
      </c>
      <c r="T363" s="273">
        <v>14.56581702170084</v>
      </c>
      <c r="U363" s="273">
        <v>0</v>
      </c>
      <c r="V363" s="273">
        <v>0</v>
      </c>
      <c r="W363" s="273">
        <v>1812</v>
      </c>
      <c r="X363" s="273">
        <v>147</v>
      </c>
      <c r="Y363" s="273">
        <v>22</v>
      </c>
      <c r="Z363" s="273">
        <v>0.952574994303894</v>
      </c>
      <c r="AA363" s="273">
        <v>16</v>
      </c>
      <c r="AB363" s="273">
        <v>16</v>
      </c>
      <c r="AC363" s="273">
        <v>2.361667122013614</v>
      </c>
      <c r="AD363" s="273">
        <v>161</v>
      </c>
      <c r="AE363" s="273">
        <v>48</v>
      </c>
      <c r="AF363" s="273">
        <v>9</v>
      </c>
      <c r="AG363" s="273">
        <v>3</v>
      </c>
      <c r="AH363" s="273">
        <v>221</v>
      </c>
      <c r="AI363" s="273">
        <v>1.0025552146003944</v>
      </c>
      <c r="AJ363" s="273">
        <v>2030</v>
      </c>
      <c r="AK363" s="273">
        <v>137</v>
      </c>
      <c r="AL363" s="273">
        <v>0.7140371860345253</v>
      </c>
      <c r="AM363" s="273">
        <v>0.724092875669539</v>
      </c>
      <c r="AN363" s="273">
        <v>0</v>
      </c>
      <c r="AO363" s="273">
        <v>0</v>
      </c>
      <c r="AP363" s="273">
        <f t="shared" si="4"/>
        <v>0</v>
      </c>
      <c r="AQ363" s="273">
        <v>-17408.788966968656</v>
      </c>
      <c r="AR363" s="273">
        <v>1699249.2696926824</v>
      </c>
      <c r="AS363" s="273">
        <v>1</v>
      </c>
      <c r="AT363" s="273">
        <v>4383</v>
      </c>
      <c r="AU363" s="273">
        <v>0</v>
      </c>
      <c r="AV363" s="273">
        <v>0</v>
      </c>
      <c r="AW363" s="273">
        <v>0</v>
      </c>
      <c r="AX363" s="273">
        <v>0</v>
      </c>
      <c r="AY363" s="273">
        <v>300.91</v>
      </c>
      <c r="AZ363" s="273">
        <v>14.56581702170084</v>
      </c>
      <c r="BA363" s="273">
        <v>2350</v>
      </c>
      <c r="BB363" s="273">
        <v>0.5361624458133698</v>
      </c>
      <c r="BC363" s="273">
        <v>0</v>
      </c>
      <c r="BD363" s="273">
        <v>0</v>
      </c>
      <c r="BE363" s="273">
        <v>4248</v>
      </c>
      <c r="BF363" s="273">
        <v>4383</v>
      </c>
      <c r="BG363" s="273">
        <v>0.03177966101694915</v>
      </c>
      <c r="BH363" s="273">
        <v>0</v>
      </c>
      <c r="BI363" s="273">
        <v>0</v>
      </c>
      <c r="BJ363" s="273">
        <v>0</v>
      </c>
      <c r="BK363" s="273">
        <v>748398.7056007423</v>
      </c>
      <c r="BL363" s="273">
        <v>6550.14</v>
      </c>
    </row>
    <row r="364" spans="6:64" s="273" customFormat="1" ht="12.75">
      <c r="F364" s="273">
        <v>924</v>
      </c>
      <c r="G364" s="273" t="s">
        <v>299</v>
      </c>
      <c r="H364" s="273">
        <v>267</v>
      </c>
      <c r="I364" s="273">
        <v>28</v>
      </c>
      <c r="J364" s="273">
        <v>204</v>
      </c>
      <c r="K364" s="273">
        <v>105</v>
      </c>
      <c r="L364" s="273">
        <v>2361</v>
      </c>
      <c r="M364" s="273">
        <v>378</v>
      </c>
      <c r="N364" s="273">
        <v>284</v>
      </c>
      <c r="O364" s="273">
        <v>115</v>
      </c>
      <c r="P364" s="273">
        <v>3405</v>
      </c>
      <c r="Q364" s="273">
        <v>7</v>
      </c>
      <c r="R364" s="273">
        <v>4</v>
      </c>
      <c r="S364" s="273">
        <v>502.31</v>
      </c>
      <c r="T364" s="273">
        <v>6.778682486910474</v>
      </c>
      <c r="U364" s="273">
        <v>0</v>
      </c>
      <c r="V364" s="273">
        <v>0</v>
      </c>
      <c r="W364" s="273">
        <v>1385</v>
      </c>
      <c r="X364" s="273">
        <v>290</v>
      </c>
      <c r="Y364" s="273">
        <v>15</v>
      </c>
      <c r="Z364" s="273">
        <v>0.8192072531109765</v>
      </c>
      <c r="AA364" s="273">
        <v>1</v>
      </c>
      <c r="AB364" s="273">
        <v>2</v>
      </c>
      <c r="AC364" s="273">
        <v>0.37999952260593506</v>
      </c>
      <c r="AD364" s="273">
        <v>226</v>
      </c>
      <c r="AE364" s="273">
        <v>27</v>
      </c>
      <c r="AF364" s="273">
        <v>5</v>
      </c>
      <c r="AG364" s="273">
        <v>0</v>
      </c>
      <c r="AH364" s="273">
        <v>258</v>
      </c>
      <c r="AI364" s="273">
        <v>1.5065726771823846</v>
      </c>
      <c r="AJ364" s="273">
        <v>1546</v>
      </c>
      <c r="AK364" s="273">
        <v>116</v>
      </c>
      <c r="AL364" s="273">
        <v>0.793861609273803</v>
      </c>
      <c r="AM364" s="273">
        <v>1.09060430246299</v>
      </c>
      <c r="AN364" s="273">
        <v>0</v>
      </c>
      <c r="AO364" s="273">
        <v>0</v>
      </c>
      <c r="AP364" s="273">
        <f t="shared" si="4"/>
        <v>0</v>
      </c>
      <c r="AQ364" s="273">
        <v>96922.8365674261</v>
      </c>
      <c r="AR364" s="273">
        <v>2471048.767869879</v>
      </c>
      <c r="AS364" s="273">
        <v>0</v>
      </c>
      <c r="AT364" s="273">
        <v>3405</v>
      </c>
      <c r="AU364" s="273">
        <v>0</v>
      </c>
      <c r="AV364" s="273">
        <v>0</v>
      </c>
      <c r="AW364" s="273">
        <v>0</v>
      </c>
      <c r="AX364" s="273">
        <v>0.1412</v>
      </c>
      <c r="AY364" s="273">
        <v>502.31</v>
      </c>
      <c r="AZ364" s="273">
        <v>6.778682486910474</v>
      </c>
      <c r="BA364" s="273">
        <v>1623</v>
      </c>
      <c r="BB364" s="273">
        <v>0.47665198237885464</v>
      </c>
      <c r="BC364" s="273">
        <v>0</v>
      </c>
      <c r="BD364" s="273">
        <v>0</v>
      </c>
      <c r="BE364" s="273">
        <v>3501</v>
      </c>
      <c r="BF364" s="273">
        <v>3405</v>
      </c>
      <c r="BG364" s="273">
        <v>-0.027420736932305057</v>
      </c>
      <c r="BH364" s="273">
        <v>0</v>
      </c>
      <c r="BI364" s="273">
        <v>1</v>
      </c>
      <c r="BJ364" s="273">
        <v>0.0002936857562408223</v>
      </c>
      <c r="BK364" s="273">
        <v>735955.5031622194</v>
      </c>
      <c r="BL364" s="273">
        <v>7085.73</v>
      </c>
    </row>
    <row r="365" spans="6:64" s="273" customFormat="1" ht="12.75">
      <c r="F365" s="273">
        <v>925</v>
      </c>
      <c r="G365" s="273" t="s">
        <v>300</v>
      </c>
      <c r="H365" s="273">
        <v>272</v>
      </c>
      <c r="I365" s="273">
        <v>41</v>
      </c>
      <c r="J365" s="273">
        <v>251</v>
      </c>
      <c r="K365" s="273">
        <v>150</v>
      </c>
      <c r="L365" s="273">
        <v>2810</v>
      </c>
      <c r="M365" s="273">
        <v>429</v>
      </c>
      <c r="N365" s="273">
        <v>334</v>
      </c>
      <c r="O365" s="273">
        <v>117</v>
      </c>
      <c r="P365" s="273">
        <v>3962</v>
      </c>
      <c r="Q365" s="273">
        <v>0</v>
      </c>
      <c r="R365" s="273">
        <v>3</v>
      </c>
      <c r="S365" s="273">
        <v>925.21</v>
      </c>
      <c r="T365" s="273">
        <v>4.282271051977388</v>
      </c>
      <c r="U365" s="273">
        <v>0</v>
      </c>
      <c r="V365" s="273">
        <v>0</v>
      </c>
      <c r="W365" s="273">
        <v>1574</v>
      </c>
      <c r="X365" s="273">
        <v>486</v>
      </c>
      <c r="Y365" s="273">
        <v>21</v>
      </c>
      <c r="Z365" s="273">
        <v>0.7121631503900981</v>
      </c>
      <c r="AA365" s="273">
        <v>7</v>
      </c>
      <c r="AB365" s="273">
        <v>7</v>
      </c>
      <c r="AC365" s="273">
        <v>1.1430197654356968</v>
      </c>
      <c r="AD365" s="273">
        <v>309</v>
      </c>
      <c r="AE365" s="273">
        <v>29</v>
      </c>
      <c r="AF365" s="273">
        <v>7</v>
      </c>
      <c r="AG365" s="273">
        <v>3</v>
      </c>
      <c r="AH365" s="273">
        <v>348</v>
      </c>
      <c r="AI365" s="273">
        <v>1.746434370806083</v>
      </c>
      <c r="AJ365" s="273">
        <v>1820</v>
      </c>
      <c r="AK365" s="273">
        <v>165</v>
      </c>
      <c r="AL365" s="273">
        <v>0.9591993080222357</v>
      </c>
      <c r="AM365" s="273">
        <v>1.36813067496268</v>
      </c>
      <c r="AN365" s="273">
        <v>0</v>
      </c>
      <c r="AO365" s="273">
        <v>0</v>
      </c>
      <c r="AP365" s="273">
        <f t="shared" si="4"/>
        <v>0</v>
      </c>
      <c r="AQ365" s="273">
        <v>104347.35000475124</v>
      </c>
      <c r="AR365" s="273">
        <v>1951620.9087594948</v>
      </c>
      <c r="AS365" s="273">
        <v>1</v>
      </c>
      <c r="AT365" s="273">
        <v>3962</v>
      </c>
      <c r="AU365" s="273">
        <v>0</v>
      </c>
      <c r="AV365" s="273">
        <v>0</v>
      </c>
      <c r="AW365" s="273">
        <v>0</v>
      </c>
      <c r="AX365" s="273">
        <v>0.15003333333333332</v>
      </c>
      <c r="AY365" s="273">
        <v>925.21</v>
      </c>
      <c r="AZ365" s="273">
        <v>4.282271051977388</v>
      </c>
      <c r="BA365" s="273">
        <v>1480</v>
      </c>
      <c r="BB365" s="273">
        <v>0.3735487127713276</v>
      </c>
      <c r="BC365" s="273">
        <v>0</v>
      </c>
      <c r="BD365" s="273">
        <v>0</v>
      </c>
      <c r="BE365" s="273">
        <v>4062</v>
      </c>
      <c r="BF365" s="273">
        <v>3962</v>
      </c>
      <c r="BG365" s="273">
        <v>-0.024618414574101428</v>
      </c>
      <c r="BH365" s="273">
        <v>0</v>
      </c>
      <c r="BI365" s="273">
        <v>0</v>
      </c>
      <c r="BJ365" s="273">
        <v>0</v>
      </c>
      <c r="BK365" s="273">
        <v>916480.8616393602</v>
      </c>
      <c r="BL365" s="273">
        <v>7363.9</v>
      </c>
    </row>
    <row r="366" spans="6:64" s="273" customFormat="1" ht="12.75">
      <c r="F366" s="273">
        <v>927</v>
      </c>
      <c r="G366" s="273" t="s">
        <v>301</v>
      </c>
      <c r="H366" s="273">
        <v>2810</v>
      </c>
      <c r="I366" s="273">
        <v>378</v>
      </c>
      <c r="J366" s="273">
        <v>2374</v>
      </c>
      <c r="K366" s="273">
        <v>1164</v>
      </c>
      <c r="L366" s="273">
        <v>22011</v>
      </c>
      <c r="M366" s="273">
        <v>2326</v>
      </c>
      <c r="N366" s="273">
        <v>1090</v>
      </c>
      <c r="O366" s="273">
        <v>344</v>
      </c>
      <c r="P366" s="273">
        <v>28581</v>
      </c>
      <c r="Q366" s="273">
        <v>54</v>
      </c>
      <c r="R366" s="273">
        <v>75</v>
      </c>
      <c r="S366" s="273">
        <v>522.03</v>
      </c>
      <c r="T366" s="273">
        <v>54.749727027182345</v>
      </c>
      <c r="U366" s="273">
        <v>0</v>
      </c>
      <c r="V366" s="273">
        <v>0</v>
      </c>
      <c r="W366" s="273">
        <v>13167</v>
      </c>
      <c r="X366" s="273">
        <v>254</v>
      </c>
      <c r="Y366" s="273">
        <v>166</v>
      </c>
      <c r="Z366" s="273">
        <v>1.0170468451387153</v>
      </c>
      <c r="AA366" s="273">
        <v>47</v>
      </c>
      <c r="AB366" s="273">
        <v>47</v>
      </c>
      <c r="AC366" s="273">
        <v>1.0638750148742313</v>
      </c>
      <c r="AD366" s="273">
        <v>669</v>
      </c>
      <c r="AE366" s="273">
        <v>195</v>
      </c>
      <c r="AF366" s="273">
        <v>38</v>
      </c>
      <c r="AG366" s="273">
        <v>8</v>
      </c>
      <c r="AH366" s="273">
        <v>910</v>
      </c>
      <c r="AI366" s="273">
        <v>0.6330696151321158</v>
      </c>
      <c r="AJ366" s="273">
        <v>14302</v>
      </c>
      <c r="AK366" s="273">
        <v>933</v>
      </c>
      <c r="AL366" s="273">
        <v>0.6902098782455676</v>
      </c>
      <c r="AM366" s="273">
        <v>0.680687217671844</v>
      </c>
      <c r="AN366" s="273">
        <v>0</v>
      </c>
      <c r="AO366" s="273">
        <v>0</v>
      </c>
      <c r="AP366" s="273">
        <f t="shared" si="4"/>
        <v>0</v>
      </c>
      <c r="AQ366" s="273">
        <v>94447.8555355221</v>
      </c>
      <c r="AR366" s="273">
        <v>-4005703.6126056914</v>
      </c>
      <c r="AS366" s="273">
        <v>1</v>
      </c>
      <c r="AT366" s="273">
        <v>28581</v>
      </c>
      <c r="AU366" s="273">
        <v>0</v>
      </c>
      <c r="AV366" s="273">
        <v>0</v>
      </c>
      <c r="AW366" s="273">
        <v>0</v>
      </c>
      <c r="AX366" s="273">
        <v>0</v>
      </c>
      <c r="AY366" s="273">
        <v>522.03</v>
      </c>
      <c r="AZ366" s="273">
        <v>54.749727027182345</v>
      </c>
      <c r="BA366" s="273">
        <v>20741</v>
      </c>
      <c r="BB366" s="273">
        <v>0.7256918932157728</v>
      </c>
      <c r="BC366" s="273">
        <v>0</v>
      </c>
      <c r="BD366" s="273">
        <v>0</v>
      </c>
      <c r="BE366" s="273">
        <v>27628</v>
      </c>
      <c r="BF366" s="273">
        <v>28581</v>
      </c>
      <c r="BG366" s="273">
        <v>0.034493991602721874</v>
      </c>
      <c r="BH366" s="273">
        <v>0</v>
      </c>
      <c r="BI366" s="273">
        <v>1</v>
      </c>
      <c r="BJ366" s="273">
        <v>3.49882789265596E-05</v>
      </c>
      <c r="BK366" s="273">
        <v>3742260.9644127986</v>
      </c>
      <c r="BL366" s="273">
        <v>5884.26</v>
      </c>
    </row>
    <row r="367" spans="6:64" s="273" customFormat="1" ht="12.75">
      <c r="F367" s="273">
        <v>931</v>
      </c>
      <c r="G367" s="273" t="s">
        <v>302</v>
      </c>
      <c r="H367" s="273">
        <v>358</v>
      </c>
      <c r="I367" s="273">
        <v>50</v>
      </c>
      <c r="J367" s="273">
        <v>392</v>
      </c>
      <c r="K367" s="273">
        <v>253</v>
      </c>
      <c r="L367" s="273">
        <v>4787</v>
      </c>
      <c r="M367" s="273">
        <v>954</v>
      </c>
      <c r="N367" s="273">
        <v>740</v>
      </c>
      <c r="O367" s="273">
        <v>226</v>
      </c>
      <c r="P367" s="273">
        <v>7065</v>
      </c>
      <c r="Q367" s="273">
        <v>1</v>
      </c>
      <c r="R367" s="273">
        <v>10</v>
      </c>
      <c r="S367" s="273">
        <v>1248.69</v>
      </c>
      <c r="T367" s="273">
        <v>5.657929510126612</v>
      </c>
      <c r="U367" s="273">
        <v>0</v>
      </c>
      <c r="V367" s="273">
        <v>0</v>
      </c>
      <c r="W367" s="273">
        <v>2524</v>
      </c>
      <c r="X367" s="273">
        <v>281</v>
      </c>
      <c r="Y367" s="273">
        <v>38</v>
      </c>
      <c r="Z367" s="273">
        <v>0.9177809731969168</v>
      </c>
      <c r="AA367" s="273">
        <v>8</v>
      </c>
      <c r="AB367" s="273">
        <v>8</v>
      </c>
      <c r="AC367" s="273">
        <v>0.7325680817965797</v>
      </c>
      <c r="AD367" s="273">
        <v>483</v>
      </c>
      <c r="AE367" s="273">
        <v>44</v>
      </c>
      <c r="AF367" s="273">
        <v>24</v>
      </c>
      <c r="AG367" s="273">
        <v>1</v>
      </c>
      <c r="AH367" s="273">
        <v>552</v>
      </c>
      <c r="AI367" s="273">
        <v>1.5535112719240074</v>
      </c>
      <c r="AJ367" s="273">
        <v>2977</v>
      </c>
      <c r="AK367" s="273">
        <v>340</v>
      </c>
      <c r="AL367" s="273">
        <v>1.208360118085442</v>
      </c>
      <c r="AM367" s="273">
        <v>1.48243230022314</v>
      </c>
      <c r="AN367" s="273">
        <v>0.05</v>
      </c>
      <c r="AO367" s="273">
        <v>0</v>
      </c>
      <c r="AP367" s="273">
        <f t="shared" si="4"/>
        <v>0.05</v>
      </c>
      <c r="AQ367" s="273">
        <v>-29884.02446912974</v>
      </c>
      <c r="AR367" s="273">
        <v>4637960.6813538475</v>
      </c>
      <c r="AS367" s="273">
        <v>1</v>
      </c>
      <c r="AT367" s="273">
        <v>7065</v>
      </c>
      <c r="AU367" s="273">
        <v>0</v>
      </c>
      <c r="AV367" s="273">
        <v>0</v>
      </c>
      <c r="AW367" s="273">
        <v>0</v>
      </c>
      <c r="AX367" s="273">
        <v>0.9646333333333333</v>
      </c>
      <c r="AY367" s="273">
        <v>1248.69</v>
      </c>
      <c r="AZ367" s="273">
        <v>5.657929510126612</v>
      </c>
      <c r="BA367" s="273">
        <v>3882</v>
      </c>
      <c r="BB367" s="273">
        <v>0.5494692144373673</v>
      </c>
      <c r="BC367" s="273">
        <v>0</v>
      </c>
      <c r="BD367" s="273">
        <v>0</v>
      </c>
      <c r="BE367" s="273">
        <v>7330</v>
      </c>
      <c r="BF367" s="273">
        <v>7065</v>
      </c>
      <c r="BG367" s="273">
        <v>-0.03615279672578445</v>
      </c>
      <c r="BH367" s="273">
        <v>0</v>
      </c>
      <c r="BI367" s="273">
        <v>0</v>
      </c>
      <c r="BJ367" s="273">
        <v>0</v>
      </c>
      <c r="BK367" s="273">
        <v>1551637.7612404712</v>
      </c>
      <c r="BL367" s="273">
        <v>7183.6</v>
      </c>
    </row>
    <row r="368" spans="6:64" s="273" customFormat="1" ht="12.75">
      <c r="F368" s="273">
        <v>934</v>
      </c>
      <c r="G368" s="273" t="s">
        <v>303</v>
      </c>
      <c r="H368" s="273">
        <v>235</v>
      </c>
      <c r="I368" s="273">
        <v>49</v>
      </c>
      <c r="J368" s="273">
        <v>220</v>
      </c>
      <c r="K368" s="273">
        <v>119</v>
      </c>
      <c r="L368" s="273">
        <v>2276</v>
      </c>
      <c r="M368" s="273">
        <v>338</v>
      </c>
      <c r="N368" s="273">
        <v>265</v>
      </c>
      <c r="O368" s="273">
        <v>108</v>
      </c>
      <c r="P368" s="273">
        <v>3222</v>
      </c>
      <c r="Q368" s="273">
        <v>1</v>
      </c>
      <c r="R368" s="273">
        <v>2</v>
      </c>
      <c r="S368" s="273">
        <v>287.28</v>
      </c>
      <c r="T368" s="273">
        <v>11.215538847117795</v>
      </c>
      <c r="U368" s="273">
        <v>0</v>
      </c>
      <c r="V368" s="273">
        <v>0</v>
      </c>
      <c r="W368" s="273">
        <v>1257</v>
      </c>
      <c r="X368" s="273">
        <v>112</v>
      </c>
      <c r="Y368" s="273">
        <v>13</v>
      </c>
      <c r="Z368" s="273">
        <v>0.9460867406025895</v>
      </c>
      <c r="AA368" s="273">
        <v>8</v>
      </c>
      <c r="AB368" s="273">
        <v>8</v>
      </c>
      <c r="AC368" s="273">
        <v>1.6063294531014387</v>
      </c>
      <c r="AD368" s="273">
        <v>250</v>
      </c>
      <c r="AE368" s="273">
        <v>31</v>
      </c>
      <c r="AF368" s="273">
        <v>6</v>
      </c>
      <c r="AG368" s="273">
        <v>1</v>
      </c>
      <c r="AH368" s="273">
        <v>288</v>
      </c>
      <c r="AI368" s="273">
        <v>1.7772742508530666</v>
      </c>
      <c r="AJ368" s="273">
        <v>1448</v>
      </c>
      <c r="AK368" s="273">
        <v>121</v>
      </c>
      <c r="AL368" s="273">
        <v>0.8841238557368858</v>
      </c>
      <c r="AM368" s="273">
        <v>1.29070824218438</v>
      </c>
      <c r="AN368" s="273">
        <v>0</v>
      </c>
      <c r="AO368" s="273">
        <v>0</v>
      </c>
      <c r="AP368" s="273">
        <f t="shared" si="4"/>
        <v>0</v>
      </c>
      <c r="AQ368" s="273">
        <v>62305.717786749825</v>
      </c>
      <c r="AR368" s="273">
        <v>1066273.5132708868</v>
      </c>
      <c r="AS368" s="273">
        <v>1</v>
      </c>
      <c r="AT368" s="273">
        <v>3222</v>
      </c>
      <c r="AU368" s="273">
        <v>0</v>
      </c>
      <c r="AV368" s="273">
        <v>0</v>
      </c>
      <c r="AW368" s="273">
        <v>0</v>
      </c>
      <c r="AX368" s="273">
        <v>0</v>
      </c>
      <c r="AY368" s="273">
        <v>287.28</v>
      </c>
      <c r="AZ368" s="273">
        <v>11.215538847117795</v>
      </c>
      <c r="BA368" s="273">
        <v>2100</v>
      </c>
      <c r="BB368" s="273">
        <v>0.6517690875232774</v>
      </c>
      <c r="BC368" s="273">
        <v>0</v>
      </c>
      <c r="BD368" s="273">
        <v>0</v>
      </c>
      <c r="BE368" s="273">
        <v>3302</v>
      </c>
      <c r="BF368" s="273">
        <v>3222</v>
      </c>
      <c r="BG368" s="273">
        <v>-0.024227740763173834</v>
      </c>
      <c r="BH368" s="273">
        <v>0</v>
      </c>
      <c r="BI368" s="273">
        <v>0</v>
      </c>
      <c r="BJ368" s="273">
        <v>0</v>
      </c>
      <c r="BK368" s="273">
        <v>535704.7050776142</v>
      </c>
      <c r="BL368" s="273">
        <v>6718.62</v>
      </c>
    </row>
    <row r="369" spans="6:64" s="273" customFormat="1" ht="12.75">
      <c r="F369" s="273">
        <v>935</v>
      </c>
      <c r="G369" s="273" t="s">
        <v>304</v>
      </c>
      <c r="H369" s="273">
        <v>211</v>
      </c>
      <c r="I369" s="273">
        <v>24</v>
      </c>
      <c r="J369" s="273">
        <v>208</v>
      </c>
      <c r="K369" s="273">
        <v>104</v>
      </c>
      <c r="L369" s="273">
        <v>2408</v>
      </c>
      <c r="M369" s="273">
        <v>450</v>
      </c>
      <c r="N369" s="273">
        <v>305</v>
      </c>
      <c r="O369" s="273">
        <v>111</v>
      </c>
      <c r="P369" s="273">
        <v>3485</v>
      </c>
      <c r="Q369" s="273">
        <v>2</v>
      </c>
      <c r="R369" s="273">
        <v>16</v>
      </c>
      <c r="S369" s="273">
        <v>371.95</v>
      </c>
      <c r="T369" s="273">
        <v>9.369538916521037</v>
      </c>
      <c r="U369" s="273">
        <v>0</v>
      </c>
      <c r="V369" s="273">
        <v>0</v>
      </c>
      <c r="W369" s="273">
        <v>1336</v>
      </c>
      <c r="X369" s="273">
        <v>178</v>
      </c>
      <c r="Y369" s="273">
        <v>19</v>
      </c>
      <c r="Z369" s="273">
        <v>0.8956474065004452</v>
      </c>
      <c r="AA369" s="273">
        <v>2</v>
      </c>
      <c r="AB369" s="273">
        <v>2</v>
      </c>
      <c r="AC369" s="273">
        <v>0.37127643456906995</v>
      </c>
      <c r="AD369" s="273">
        <v>196</v>
      </c>
      <c r="AE369" s="273">
        <v>23</v>
      </c>
      <c r="AF369" s="273">
        <v>3</v>
      </c>
      <c r="AG369" s="273">
        <v>1</v>
      </c>
      <c r="AH369" s="273">
        <v>223</v>
      </c>
      <c r="AI369" s="273">
        <v>1.2723001483375513</v>
      </c>
      <c r="AJ369" s="273">
        <v>1525</v>
      </c>
      <c r="AK369" s="273">
        <v>126</v>
      </c>
      <c r="AL369" s="273">
        <v>0.8741722218208012</v>
      </c>
      <c r="AM369" s="273">
        <v>1.30003128020679</v>
      </c>
      <c r="AN369" s="273">
        <v>0</v>
      </c>
      <c r="AO369" s="273">
        <v>0</v>
      </c>
      <c r="AP369" s="273">
        <f t="shared" si="4"/>
        <v>0</v>
      </c>
      <c r="AQ369" s="273">
        <v>62997.892044780776</v>
      </c>
      <c r="AR369" s="273">
        <v>1913652.1061049972</v>
      </c>
      <c r="AS369" s="273">
        <v>1</v>
      </c>
      <c r="AT369" s="273">
        <v>3485</v>
      </c>
      <c r="AU369" s="273">
        <v>0</v>
      </c>
      <c r="AV369" s="273">
        <v>0</v>
      </c>
      <c r="AW369" s="273">
        <v>0</v>
      </c>
      <c r="AX369" s="273">
        <v>0</v>
      </c>
      <c r="AY369" s="273">
        <v>371.95</v>
      </c>
      <c r="AZ369" s="273">
        <v>9.369538916521037</v>
      </c>
      <c r="BA369" s="273">
        <v>1614</v>
      </c>
      <c r="BB369" s="273">
        <v>0.4631276901004304</v>
      </c>
      <c r="BC369" s="273">
        <v>0</v>
      </c>
      <c r="BD369" s="273">
        <v>0</v>
      </c>
      <c r="BE369" s="273">
        <v>3541</v>
      </c>
      <c r="BF369" s="273">
        <v>3485</v>
      </c>
      <c r="BG369" s="273">
        <v>-0.015814741598418527</v>
      </c>
      <c r="BH369" s="273">
        <v>0</v>
      </c>
      <c r="BI369" s="273">
        <v>0</v>
      </c>
      <c r="BJ369" s="273">
        <v>0</v>
      </c>
      <c r="BK369" s="273">
        <v>670357.7677076886</v>
      </c>
      <c r="BL369" s="273">
        <v>6903.87</v>
      </c>
    </row>
    <row r="370" spans="6:64" s="273" customFormat="1" ht="12.75">
      <c r="F370" s="273">
        <v>936</v>
      </c>
      <c r="G370" s="273" t="s">
        <v>305</v>
      </c>
      <c r="H370" s="273">
        <v>432</v>
      </c>
      <c r="I370" s="273">
        <v>69</v>
      </c>
      <c r="J370" s="273">
        <v>419</v>
      </c>
      <c r="K370" s="273">
        <v>211</v>
      </c>
      <c r="L370" s="273">
        <v>4978</v>
      </c>
      <c r="M370" s="273">
        <v>1012</v>
      </c>
      <c r="N370" s="273">
        <v>741</v>
      </c>
      <c r="O370" s="273">
        <v>290</v>
      </c>
      <c r="P370" s="273">
        <v>7453</v>
      </c>
      <c r="Q370" s="273">
        <v>0</v>
      </c>
      <c r="R370" s="273">
        <v>22</v>
      </c>
      <c r="S370" s="273">
        <v>1162.35</v>
      </c>
      <c r="T370" s="273">
        <v>6.412010151847551</v>
      </c>
      <c r="U370" s="273">
        <v>0</v>
      </c>
      <c r="V370" s="273">
        <v>0</v>
      </c>
      <c r="W370" s="273">
        <v>2769</v>
      </c>
      <c r="X370" s="273">
        <v>330</v>
      </c>
      <c r="Y370" s="273">
        <v>46</v>
      </c>
      <c r="Z370" s="273">
        <v>0.9079032058043334</v>
      </c>
      <c r="AA370" s="273">
        <v>8</v>
      </c>
      <c r="AB370" s="273">
        <v>8</v>
      </c>
      <c r="AC370" s="273">
        <v>0.6944309000258735</v>
      </c>
      <c r="AD370" s="273">
        <v>480</v>
      </c>
      <c r="AE370" s="273">
        <v>33</v>
      </c>
      <c r="AF370" s="273">
        <v>20</v>
      </c>
      <c r="AG370" s="273">
        <v>6</v>
      </c>
      <c r="AH370" s="273">
        <v>539</v>
      </c>
      <c r="AI370" s="273">
        <v>1.437954489773872</v>
      </c>
      <c r="AJ370" s="273">
        <v>3192</v>
      </c>
      <c r="AK370" s="273">
        <v>311</v>
      </c>
      <c r="AL370" s="273">
        <v>1.030846039961164</v>
      </c>
      <c r="AM370" s="273">
        <v>1.21370621805684</v>
      </c>
      <c r="AN370" s="273">
        <v>0</v>
      </c>
      <c r="AO370" s="273">
        <v>0</v>
      </c>
      <c r="AP370" s="273">
        <f t="shared" si="4"/>
        <v>0</v>
      </c>
      <c r="AQ370" s="273">
        <v>46812.20847382769</v>
      </c>
      <c r="AR370" s="273">
        <v>4572581.159908854</v>
      </c>
      <c r="AS370" s="273">
        <v>1</v>
      </c>
      <c r="AT370" s="273">
        <v>7453</v>
      </c>
      <c r="AU370" s="273">
        <v>0</v>
      </c>
      <c r="AV370" s="273">
        <v>0</v>
      </c>
      <c r="AW370" s="273">
        <v>0</v>
      </c>
      <c r="AX370" s="273">
        <v>0.38</v>
      </c>
      <c r="AY370" s="273">
        <v>1162.35</v>
      </c>
      <c r="AZ370" s="273">
        <v>6.412010151847551</v>
      </c>
      <c r="BA370" s="273">
        <v>3820</v>
      </c>
      <c r="BB370" s="273">
        <v>0.5125452837783443</v>
      </c>
      <c r="BC370" s="273">
        <v>0</v>
      </c>
      <c r="BD370" s="273">
        <v>0</v>
      </c>
      <c r="BE370" s="273">
        <v>7629</v>
      </c>
      <c r="BF370" s="273">
        <v>7453</v>
      </c>
      <c r="BG370" s="273">
        <v>-0.023069864988858303</v>
      </c>
      <c r="BH370" s="273">
        <v>0</v>
      </c>
      <c r="BI370" s="273">
        <v>0</v>
      </c>
      <c r="BJ370" s="273">
        <v>0</v>
      </c>
      <c r="BK370" s="273">
        <v>1422461.6928126917</v>
      </c>
      <c r="BL370" s="273">
        <v>7134.39</v>
      </c>
    </row>
    <row r="371" spans="6:64" s="273" customFormat="1" ht="12.75">
      <c r="F371" s="273">
        <v>946</v>
      </c>
      <c r="G371" s="273" t="s">
        <v>306</v>
      </c>
      <c r="H371" s="273">
        <v>509</v>
      </c>
      <c r="I371" s="273">
        <v>67</v>
      </c>
      <c r="J371" s="273">
        <v>425</v>
      </c>
      <c r="K371" s="273">
        <v>259</v>
      </c>
      <c r="L371" s="273">
        <v>4703</v>
      </c>
      <c r="M371" s="273">
        <v>722</v>
      </c>
      <c r="N371" s="273">
        <v>527</v>
      </c>
      <c r="O371" s="273">
        <v>282</v>
      </c>
      <c r="P371" s="273">
        <v>6743</v>
      </c>
      <c r="Q371" s="273">
        <v>575</v>
      </c>
      <c r="R371" s="273">
        <v>85</v>
      </c>
      <c r="S371" s="273">
        <v>781.31</v>
      </c>
      <c r="T371" s="273">
        <v>8.630377187032037</v>
      </c>
      <c r="U371" s="273">
        <v>1</v>
      </c>
      <c r="V371" s="273">
        <v>3</v>
      </c>
      <c r="W371" s="273">
        <v>2976</v>
      </c>
      <c r="X371" s="273">
        <v>421</v>
      </c>
      <c r="Y371" s="273">
        <v>43</v>
      </c>
      <c r="Z371" s="273">
        <v>0.8867608579884324</v>
      </c>
      <c r="AA371" s="273">
        <v>5</v>
      </c>
      <c r="AB371" s="273">
        <v>5</v>
      </c>
      <c r="AC371" s="273">
        <v>0.4797191066562394</v>
      </c>
      <c r="AD371" s="273">
        <v>317</v>
      </c>
      <c r="AE371" s="273">
        <v>30</v>
      </c>
      <c r="AF371" s="273">
        <v>13</v>
      </c>
      <c r="AG371" s="273">
        <v>2</v>
      </c>
      <c r="AH371" s="273">
        <v>362</v>
      </c>
      <c r="AI371" s="273">
        <v>1.0674386114004988</v>
      </c>
      <c r="AJ371" s="273">
        <v>3108</v>
      </c>
      <c r="AK371" s="273">
        <v>104</v>
      </c>
      <c r="AL371" s="273">
        <v>0.35403698183075694</v>
      </c>
      <c r="AM371" s="273">
        <v>0.892722152859475</v>
      </c>
      <c r="AN371" s="273">
        <v>0</v>
      </c>
      <c r="AO371" s="273">
        <v>0</v>
      </c>
      <c r="AP371" s="273">
        <f t="shared" si="4"/>
        <v>0</v>
      </c>
      <c r="AQ371" s="273">
        <v>511241.87484688405</v>
      </c>
      <c r="AR371" s="273">
        <v>1906314.7858578975</v>
      </c>
      <c r="AS371" s="273">
        <v>1</v>
      </c>
      <c r="AT371" s="273">
        <v>6743</v>
      </c>
      <c r="AU371" s="273">
        <v>1</v>
      </c>
      <c r="AV371" s="273">
        <v>602</v>
      </c>
      <c r="AW371" s="273">
        <v>0.08927776953878096</v>
      </c>
      <c r="AX371" s="273">
        <v>0</v>
      </c>
      <c r="AY371" s="273">
        <v>781.31</v>
      </c>
      <c r="AZ371" s="273">
        <v>8.630377187032037</v>
      </c>
      <c r="BA371" s="273">
        <v>3354</v>
      </c>
      <c r="BB371" s="273">
        <v>0.4974047160017796</v>
      </c>
      <c r="BC371" s="273">
        <v>3</v>
      </c>
      <c r="BD371" s="273">
        <v>0</v>
      </c>
      <c r="BE371" s="273">
        <v>6628</v>
      </c>
      <c r="BF371" s="273">
        <v>6743</v>
      </c>
      <c r="BG371" s="273">
        <v>0.017350633675316838</v>
      </c>
      <c r="BH371" s="273">
        <v>0</v>
      </c>
      <c r="BI371" s="273">
        <v>0</v>
      </c>
      <c r="BJ371" s="273">
        <v>0</v>
      </c>
      <c r="BK371" s="273">
        <v>1305288.1645396173</v>
      </c>
      <c r="BL371" s="273">
        <v>7919.4</v>
      </c>
    </row>
    <row r="372" spans="6:64" s="273" customFormat="1" ht="12.75">
      <c r="F372" s="273">
        <v>976</v>
      </c>
      <c r="G372" s="273" t="s">
        <v>307</v>
      </c>
      <c r="H372" s="273">
        <v>212</v>
      </c>
      <c r="I372" s="273">
        <v>24</v>
      </c>
      <c r="J372" s="273">
        <v>256</v>
      </c>
      <c r="K372" s="273">
        <v>150</v>
      </c>
      <c r="L372" s="273">
        <v>3110</v>
      </c>
      <c r="M372" s="273">
        <v>639</v>
      </c>
      <c r="N372" s="273">
        <v>499</v>
      </c>
      <c r="O372" s="273">
        <v>190</v>
      </c>
      <c r="P372" s="273">
        <v>4650</v>
      </c>
      <c r="Q372" s="273">
        <v>0</v>
      </c>
      <c r="R372" s="273">
        <v>2</v>
      </c>
      <c r="S372" s="273">
        <v>2028.86</v>
      </c>
      <c r="T372" s="273">
        <v>2.291927486371657</v>
      </c>
      <c r="U372" s="273">
        <v>0</v>
      </c>
      <c r="V372" s="273">
        <v>0</v>
      </c>
      <c r="W372" s="273">
        <v>1523</v>
      </c>
      <c r="X372" s="273">
        <v>199</v>
      </c>
      <c r="Y372" s="273">
        <v>61</v>
      </c>
      <c r="Z372" s="273">
        <v>0.8712108068509042</v>
      </c>
      <c r="AA372" s="273">
        <v>5</v>
      </c>
      <c r="AB372" s="273">
        <v>5</v>
      </c>
      <c r="AC372" s="273">
        <v>0.6956442873511876</v>
      </c>
      <c r="AD372" s="273">
        <v>358</v>
      </c>
      <c r="AE372" s="273">
        <v>28</v>
      </c>
      <c r="AF372" s="273">
        <v>2</v>
      </c>
      <c r="AG372" s="273">
        <v>7</v>
      </c>
      <c r="AH372" s="273">
        <v>395</v>
      </c>
      <c r="AI372" s="273">
        <v>1.6890077406796513</v>
      </c>
      <c r="AJ372" s="273">
        <v>1830</v>
      </c>
      <c r="AK372" s="273">
        <v>229</v>
      </c>
      <c r="AL372" s="273">
        <v>1.323977769821187</v>
      </c>
      <c r="AM372" s="273">
        <v>1.51285366977679</v>
      </c>
      <c r="AN372" s="273">
        <v>0.17</v>
      </c>
      <c r="AO372" s="273">
        <v>0</v>
      </c>
      <c r="AP372" s="273">
        <f t="shared" si="4"/>
        <v>0.17</v>
      </c>
      <c r="AQ372" s="273">
        <v>-68346.25052626431</v>
      </c>
      <c r="AR372" s="273">
        <v>3797966.6483844146</v>
      </c>
      <c r="AS372" s="273">
        <v>1</v>
      </c>
      <c r="AT372" s="273">
        <v>4650</v>
      </c>
      <c r="AU372" s="273">
        <v>0</v>
      </c>
      <c r="AV372" s="273">
        <v>0</v>
      </c>
      <c r="AW372" s="273">
        <v>0</v>
      </c>
      <c r="AX372" s="273">
        <v>1.5247166666666665</v>
      </c>
      <c r="AY372" s="273">
        <v>2028.86</v>
      </c>
      <c r="AZ372" s="273">
        <v>2.291927486371657</v>
      </c>
      <c r="BA372" s="273">
        <v>2104</v>
      </c>
      <c r="BB372" s="273">
        <v>0.4524731182795699</v>
      </c>
      <c r="BC372" s="273">
        <v>0</v>
      </c>
      <c r="BD372" s="273">
        <v>0</v>
      </c>
      <c r="BE372" s="273">
        <v>4847</v>
      </c>
      <c r="BF372" s="273">
        <v>4650</v>
      </c>
      <c r="BG372" s="273">
        <v>-0.04064369713224675</v>
      </c>
      <c r="BH372" s="273">
        <v>0</v>
      </c>
      <c r="BI372" s="273">
        <v>3</v>
      </c>
      <c r="BJ372" s="273">
        <v>0.0006451612903225806</v>
      </c>
      <c r="BK372" s="273">
        <v>897765.3160869802</v>
      </c>
      <c r="BL372" s="273">
        <v>8105.09</v>
      </c>
    </row>
    <row r="373" spans="6:64" s="273" customFormat="1" ht="12.75">
      <c r="F373" s="273">
        <v>977</v>
      </c>
      <c r="G373" s="273" t="s">
        <v>308</v>
      </c>
      <c r="H373" s="273">
        <v>1435</v>
      </c>
      <c r="I373" s="273">
        <v>207</v>
      </c>
      <c r="J373" s="273">
        <v>1147</v>
      </c>
      <c r="K373" s="273">
        <v>526</v>
      </c>
      <c r="L373" s="273">
        <v>10630</v>
      </c>
      <c r="M373" s="273">
        <v>1181</v>
      </c>
      <c r="N373" s="273">
        <v>736</v>
      </c>
      <c r="O373" s="273">
        <v>284</v>
      </c>
      <c r="P373" s="273">
        <v>14266</v>
      </c>
      <c r="Q373" s="273">
        <v>5</v>
      </c>
      <c r="R373" s="273">
        <v>9</v>
      </c>
      <c r="S373" s="273">
        <v>568.57</v>
      </c>
      <c r="T373" s="273">
        <v>25.091017816627676</v>
      </c>
      <c r="U373" s="273">
        <v>0</v>
      </c>
      <c r="V373" s="273">
        <v>0</v>
      </c>
      <c r="W373" s="273">
        <v>5703</v>
      </c>
      <c r="X373" s="273">
        <v>230</v>
      </c>
      <c r="Y373" s="273">
        <v>61</v>
      </c>
      <c r="Z373" s="273">
        <v>0.9969519405906732</v>
      </c>
      <c r="AA373" s="273">
        <v>26</v>
      </c>
      <c r="AB373" s="273">
        <v>26</v>
      </c>
      <c r="AC373" s="273">
        <v>1.1790746437790351</v>
      </c>
      <c r="AD373" s="273">
        <v>674</v>
      </c>
      <c r="AE373" s="273">
        <v>104</v>
      </c>
      <c r="AF373" s="273">
        <v>41</v>
      </c>
      <c r="AG373" s="273">
        <v>2</v>
      </c>
      <c r="AH373" s="273">
        <v>821</v>
      </c>
      <c r="AI373" s="273">
        <v>1.144269796330067</v>
      </c>
      <c r="AJ373" s="273">
        <v>6527</v>
      </c>
      <c r="AK373" s="273">
        <v>621</v>
      </c>
      <c r="AL373" s="273">
        <v>1.0066402420833658</v>
      </c>
      <c r="AM373" s="273">
        <v>1.25837177265343</v>
      </c>
      <c r="AN373" s="273">
        <v>0</v>
      </c>
      <c r="AO373" s="273">
        <v>0</v>
      </c>
      <c r="AP373" s="273">
        <f t="shared" si="4"/>
        <v>0</v>
      </c>
      <c r="AQ373" s="273">
        <v>31894.618232842535</v>
      </c>
      <c r="AR373" s="273">
        <v>4038008.6744285612</v>
      </c>
      <c r="AS373" s="273">
        <v>1</v>
      </c>
      <c r="AT373" s="273">
        <v>14266</v>
      </c>
      <c r="AU373" s="273">
        <v>0</v>
      </c>
      <c r="AV373" s="273">
        <v>0</v>
      </c>
      <c r="AW373" s="273">
        <v>0</v>
      </c>
      <c r="AX373" s="273">
        <v>0</v>
      </c>
      <c r="AY373" s="273">
        <v>568.57</v>
      </c>
      <c r="AZ373" s="273">
        <v>25.091017816627676</v>
      </c>
      <c r="BA373" s="273">
        <v>12001</v>
      </c>
      <c r="BB373" s="273">
        <v>0.8412308986401233</v>
      </c>
      <c r="BC373" s="273">
        <v>0</v>
      </c>
      <c r="BD373" s="273">
        <v>0</v>
      </c>
      <c r="BE373" s="273">
        <v>13803</v>
      </c>
      <c r="BF373" s="273">
        <v>14266</v>
      </c>
      <c r="BG373" s="273">
        <v>0.03354343258711874</v>
      </c>
      <c r="BH373" s="273">
        <v>0</v>
      </c>
      <c r="BI373" s="273">
        <v>1</v>
      </c>
      <c r="BJ373" s="273">
        <v>7.009673349221926E-05</v>
      </c>
      <c r="BK373" s="273">
        <v>2352918.3222422833</v>
      </c>
      <c r="BL373" s="273">
        <v>6171.1</v>
      </c>
    </row>
    <row r="374" spans="6:64" s="273" customFormat="1" ht="12.75">
      <c r="F374" s="273">
        <v>980</v>
      </c>
      <c r="G374" s="273" t="s">
        <v>309</v>
      </c>
      <c r="H374" s="273">
        <v>3280</v>
      </c>
      <c r="I374" s="273">
        <v>437</v>
      </c>
      <c r="J374" s="273">
        <v>2757</v>
      </c>
      <c r="K374" s="273">
        <v>1251</v>
      </c>
      <c r="L374" s="273">
        <v>23212</v>
      </c>
      <c r="M374" s="273">
        <v>2647</v>
      </c>
      <c r="N374" s="273">
        <v>1408</v>
      </c>
      <c r="O374" s="273">
        <v>395</v>
      </c>
      <c r="P374" s="273">
        <v>30942</v>
      </c>
      <c r="Q374" s="273">
        <v>17</v>
      </c>
      <c r="R374" s="273">
        <v>67</v>
      </c>
      <c r="S374" s="273">
        <v>1115.46</v>
      </c>
      <c r="T374" s="273">
        <v>27.739228659028562</v>
      </c>
      <c r="U374" s="273">
        <v>0</v>
      </c>
      <c r="V374" s="273">
        <v>0</v>
      </c>
      <c r="W374" s="273">
        <v>13209</v>
      </c>
      <c r="X374" s="273">
        <v>291</v>
      </c>
      <c r="Y374" s="273">
        <v>167</v>
      </c>
      <c r="Z374" s="273">
        <v>1.0141311257279</v>
      </c>
      <c r="AA374" s="273">
        <v>52</v>
      </c>
      <c r="AB374" s="273">
        <v>52</v>
      </c>
      <c r="AC374" s="273">
        <v>1.0872392778845397</v>
      </c>
      <c r="AD374" s="273">
        <v>908</v>
      </c>
      <c r="AE374" s="273">
        <v>271</v>
      </c>
      <c r="AF374" s="273">
        <v>41</v>
      </c>
      <c r="AG374" s="273">
        <v>21</v>
      </c>
      <c r="AH374" s="273">
        <v>1241</v>
      </c>
      <c r="AI374" s="273">
        <v>0.7974636513683854</v>
      </c>
      <c r="AJ374" s="273">
        <v>14772</v>
      </c>
      <c r="AK374" s="273">
        <v>1209</v>
      </c>
      <c r="AL374" s="273">
        <v>0.86593102978853</v>
      </c>
      <c r="AM374" s="273">
        <v>0.687771901882123</v>
      </c>
      <c r="AN374" s="273">
        <v>0</v>
      </c>
      <c r="AO374" s="273">
        <v>0</v>
      </c>
      <c r="AP374" s="273">
        <f t="shared" si="4"/>
        <v>0</v>
      </c>
      <c r="AQ374" s="273">
        <v>-347209.93432351947</v>
      </c>
      <c r="AR374" s="273">
        <v>-851761.4020739272</v>
      </c>
      <c r="AS374" s="273">
        <v>1</v>
      </c>
      <c r="AT374" s="273">
        <v>30942</v>
      </c>
      <c r="AU374" s="273">
        <v>0</v>
      </c>
      <c r="AV374" s="273">
        <v>0</v>
      </c>
      <c r="AW374" s="273">
        <v>0</v>
      </c>
      <c r="AX374" s="273">
        <v>0</v>
      </c>
      <c r="AY374" s="273">
        <v>1115.46</v>
      </c>
      <c r="AZ374" s="273">
        <v>27.739228659028562</v>
      </c>
      <c r="BA374" s="273">
        <v>26443</v>
      </c>
      <c r="BB374" s="273">
        <v>0.854598927024756</v>
      </c>
      <c r="BC374" s="273">
        <v>0</v>
      </c>
      <c r="BD374" s="273">
        <v>0</v>
      </c>
      <c r="BE374" s="273">
        <v>29762</v>
      </c>
      <c r="BF374" s="273">
        <v>30942</v>
      </c>
      <c r="BG374" s="273">
        <v>0.039647873126805996</v>
      </c>
      <c r="BH374" s="273">
        <v>0</v>
      </c>
      <c r="BI374" s="273">
        <v>0</v>
      </c>
      <c r="BJ374" s="273">
        <v>0</v>
      </c>
      <c r="BK374" s="273">
        <v>4025231.039535161</v>
      </c>
      <c r="BL374" s="273">
        <v>6118.21</v>
      </c>
    </row>
    <row r="375" spans="6:64" s="273" customFormat="1" ht="12.75">
      <c r="F375" s="273">
        <v>981</v>
      </c>
      <c r="G375" s="273" t="s">
        <v>310</v>
      </c>
      <c r="H375" s="273">
        <v>162</v>
      </c>
      <c r="I375" s="273">
        <v>21</v>
      </c>
      <c r="J375" s="273">
        <v>162</v>
      </c>
      <c r="K375" s="273">
        <v>89</v>
      </c>
      <c r="L375" s="273">
        <v>1845</v>
      </c>
      <c r="M375" s="273">
        <v>252</v>
      </c>
      <c r="N375" s="273">
        <v>200</v>
      </c>
      <c r="O375" s="273">
        <v>91</v>
      </c>
      <c r="P375" s="273">
        <v>2550</v>
      </c>
      <c r="Q375" s="273">
        <v>3</v>
      </c>
      <c r="R375" s="273">
        <v>2</v>
      </c>
      <c r="S375" s="273">
        <v>182.75</v>
      </c>
      <c r="T375" s="273">
        <v>13.953488372093023</v>
      </c>
      <c r="U375" s="273">
        <v>0</v>
      </c>
      <c r="V375" s="273">
        <v>0</v>
      </c>
      <c r="W375" s="273">
        <v>1076</v>
      </c>
      <c r="X375" s="273">
        <v>168</v>
      </c>
      <c r="Y375" s="273">
        <v>25</v>
      </c>
      <c r="Z375" s="273">
        <v>0.8621210297297384</v>
      </c>
      <c r="AA375" s="273">
        <v>3</v>
      </c>
      <c r="AB375" s="273">
        <v>2</v>
      </c>
      <c r="AC375" s="273">
        <v>0.5074111272443956</v>
      </c>
      <c r="AD375" s="273">
        <v>138</v>
      </c>
      <c r="AE375" s="273">
        <v>5</v>
      </c>
      <c r="AF375" s="273">
        <v>5</v>
      </c>
      <c r="AG375" s="273">
        <v>0</v>
      </c>
      <c r="AH375" s="273">
        <v>148</v>
      </c>
      <c r="AI375" s="273">
        <v>1.1540085650392018</v>
      </c>
      <c r="AJ375" s="273">
        <v>1253</v>
      </c>
      <c r="AK375" s="273">
        <v>112</v>
      </c>
      <c r="AL375" s="273">
        <v>0.9457214778942782</v>
      </c>
      <c r="AM375" s="273">
        <v>0.840167031889958</v>
      </c>
      <c r="AN375" s="273">
        <v>0</v>
      </c>
      <c r="AO375" s="273">
        <v>0</v>
      </c>
      <c r="AP375" s="273">
        <f t="shared" si="4"/>
        <v>0</v>
      </c>
      <c r="AQ375" s="273">
        <v>26663.14650002122</v>
      </c>
      <c r="AR375" s="273">
        <v>1678753.961907691</v>
      </c>
      <c r="AS375" s="273">
        <v>1</v>
      </c>
      <c r="AT375" s="273">
        <v>2550</v>
      </c>
      <c r="AU375" s="273">
        <v>0</v>
      </c>
      <c r="AV375" s="273">
        <v>0</v>
      </c>
      <c r="AW375" s="273">
        <v>0</v>
      </c>
      <c r="AX375" s="273">
        <v>0</v>
      </c>
      <c r="AY375" s="273">
        <v>182.75</v>
      </c>
      <c r="AZ375" s="273">
        <v>13.953488372093023</v>
      </c>
      <c r="BA375" s="273">
        <v>1018</v>
      </c>
      <c r="BB375" s="273">
        <v>0.3992156862745098</v>
      </c>
      <c r="BC375" s="273">
        <v>0</v>
      </c>
      <c r="BD375" s="273">
        <v>0</v>
      </c>
      <c r="BE375" s="273">
        <v>2630</v>
      </c>
      <c r="BF375" s="273">
        <v>2550</v>
      </c>
      <c r="BG375" s="273">
        <v>-0.030418250950570342</v>
      </c>
      <c r="BH375" s="273">
        <v>0</v>
      </c>
      <c r="BI375" s="273">
        <v>0</v>
      </c>
      <c r="BJ375" s="273">
        <v>0</v>
      </c>
      <c r="BK375" s="273">
        <v>535068.4582934185</v>
      </c>
      <c r="BL375" s="273">
        <v>6582.01</v>
      </c>
    </row>
    <row r="376" spans="6:64" s="273" customFormat="1" ht="12.75">
      <c r="F376" s="273">
        <v>989</v>
      </c>
      <c r="G376" s="273" t="s">
        <v>311</v>
      </c>
      <c r="H376" s="273">
        <v>414</v>
      </c>
      <c r="I376" s="273">
        <v>53</v>
      </c>
      <c r="J376" s="273">
        <v>405</v>
      </c>
      <c r="K376" s="273">
        <v>223</v>
      </c>
      <c r="L376" s="273">
        <v>4477</v>
      </c>
      <c r="M376" s="273">
        <v>784</v>
      </c>
      <c r="N376" s="273">
        <v>523</v>
      </c>
      <c r="O376" s="273">
        <v>214</v>
      </c>
      <c r="P376" s="273">
        <v>6412</v>
      </c>
      <c r="Q376" s="273">
        <v>0</v>
      </c>
      <c r="R376" s="273">
        <v>10</v>
      </c>
      <c r="S376" s="273">
        <v>804.96</v>
      </c>
      <c r="T376" s="273">
        <v>7.965613198171337</v>
      </c>
      <c r="U376" s="273">
        <v>0</v>
      </c>
      <c r="V376" s="273">
        <v>0</v>
      </c>
      <c r="W376" s="273">
        <v>2424</v>
      </c>
      <c r="X376" s="273">
        <v>239</v>
      </c>
      <c r="Y376" s="273">
        <v>32</v>
      </c>
      <c r="Z376" s="273">
        <v>0.9331065136015947</v>
      </c>
      <c r="AA376" s="273">
        <v>8</v>
      </c>
      <c r="AB376" s="273">
        <v>8</v>
      </c>
      <c r="AC376" s="273">
        <v>0.8071730346058695</v>
      </c>
      <c r="AD376" s="273">
        <v>392</v>
      </c>
      <c r="AE376" s="273">
        <v>34</v>
      </c>
      <c r="AF376" s="273">
        <v>16</v>
      </c>
      <c r="AG376" s="273">
        <v>4</v>
      </c>
      <c r="AH376" s="273">
        <v>446</v>
      </c>
      <c r="AI376" s="273">
        <v>1.3830212155197648</v>
      </c>
      <c r="AJ376" s="273">
        <v>2828</v>
      </c>
      <c r="AK376" s="273">
        <v>272</v>
      </c>
      <c r="AL376" s="273">
        <v>1.0176203879887866</v>
      </c>
      <c r="AM376" s="273">
        <v>1.15536485716076</v>
      </c>
      <c r="AN376" s="273">
        <v>0</v>
      </c>
      <c r="AO376" s="273">
        <v>0</v>
      </c>
      <c r="AP376" s="273">
        <f t="shared" si="4"/>
        <v>0</v>
      </c>
      <c r="AQ376" s="273">
        <v>96496.76393330097</v>
      </c>
      <c r="AR376" s="273">
        <v>3594158.270496384</v>
      </c>
      <c r="AS376" s="273">
        <v>1</v>
      </c>
      <c r="AT376" s="273">
        <v>6412</v>
      </c>
      <c r="AU376" s="273">
        <v>0</v>
      </c>
      <c r="AV376" s="273">
        <v>0</v>
      </c>
      <c r="AW376" s="273">
        <v>0</v>
      </c>
      <c r="AX376" s="273">
        <v>0.13835</v>
      </c>
      <c r="AY376" s="273">
        <v>804.96</v>
      </c>
      <c r="AZ376" s="273">
        <v>7.965613198171337</v>
      </c>
      <c r="BA376" s="273">
        <v>3891</v>
      </c>
      <c r="BB376" s="273">
        <v>0.6068309419837804</v>
      </c>
      <c r="BC376" s="273">
        <v>0</v>
      </c>
      <c r="BD376" s="273">
        <v>0</v>
      </c>
      <c r="BE376" s="273">
        <v>6620</v>
      </c>
      <c r="BF376" s="273">
        <v>6412</v>
      </c>
      <c r="BG376" s="273">
        <v>-0.03141993957703928</v>
      </c>
      <c r="BH376" s="273">
        <v>0</v>
      </c>
      <c r="BI376" s="273">
        <v>0</v>
      </c>
      <c r="BJ376" s="273">
        <v>0</v>
      </c>
      <c r="BK376" s="273">
        <v>1346581.36717026</v>
      </c>
      <c r="BL376" s="273">
        <v>6960.84</v>
      </c>
    </row>
    <row r="377" spans="6:64" s="273" customFormat="1" ht="12.75">
      <c r="F377" s="273">
        <v>992</v>
      </c>
      <c r="G377" s="273" t="s">
        <v>312</v>
      </c>
      <c r="H377" s="273">
        <v>1646</v>
      </c>
      <c r="I377" s="273">
        <v>248</v>
      </c>
      <c r="J377" s="273">
        <v>1437</v>
      </c>
      <c r="K377" s="273">
        <v>746</v>
      </c>
      <c r="L377" s="273">
        <v>14530</v>
      </c>
      <c r="M377" s="273">
        <v>2292</v>
      </c>
      <c r="N377" s="273">
        <v>1426</v>
      </c>
      <c r="O377" s="273">
        <v>440</v>
      </c>
      <c r="P377" s="273">
        <v>20334</v>
      </c>
      <c r="Q377" s="273">
        <v>2</v>
      </c>
      <c r="R377" s="273">
        <v>22</v>
      </c>
      <c r="S377" s="273">
        <v>884.54</v>
      </c>
      <c r="T377" s="273">
        <v>22.988219865692905</v>
      </c>
      <c r="U377" s="273">
        <v>0</v>
      </c>
      <c r="V377" s="273">
        <v>0</v>
      </c>
      <c r="W377" s="273">
        <v>7502</v>
      </c>
      <c r="X377" s="273">
        <v>231</v>
      </c>
      <c r="Y377" s="273">
        <v>76</v>
      </c>
      <c r="Z377" s="273">
        <v>1.0075660956824928</v>
      </c>
      <c r="AA377" s="273">
        <v>38</v>
      </c>
      <c r="AB377" s="273">
        <v>38</v>
      </c>
      <c r="AC377" s="273">
        <v>1.209012939657272</v>
      </c>
      <c r="AD377" s="273">
        <v>997</v>
      </c>
      <c r="AE377" s="273">
        <v>129</v>
      </c>
      <c r="AF377" s="273">
        <v>44</v>
      </c>
      <c r="AG377" s="273">
        <v>3</v>
      </c>
      <c r="AH377" s="273">
        <v>1173</v>
      </c>
      <c r="AI377" s="273">
        <v>1.1469980778156836</v>
      </c>
      <c r="AJ377" s="273">
        <v>8998</v>
      </c>
      <c r="AK377" s="273">
        <v>1280</v>
      </c>
      <c r="AL377" s="273">
        <v>1.5050824142527297</v>
      </c>
      <c r="AM377" s="273">
        <v>1.21766796531449</v>
      </c>
      <c r="AN377" s="273">
        <v>0</v>
      </c>
      <c r="AO377" s="273">
        <v>0</v>
      </c>
      <c r="AP377" s="273">
        <f t="shared" si="4"/>
        <v>0</v>
      </c>
      <c r="AQ377" s="273">
        <v>18012.54996163398</v>
      </c>
      <c r="AR377" s="273">
        <v>6257039.194804877</v>
      </c>
      <c r="AS377" s="273">
        <v>1</v>
      </c>
      <c r="AT377" s="273">
        <v>20334</v>
      </c>
      <c r="AU377" s="273">
        <v>0</v>
      </c>
      <c r="AV377" s="273">
        <v>0</v>
      </c>
      <c r="AW377" s="273">
        <v>0</v>
      </c>
      <c r="AX377" s="273">
        <v>0</v>
      </c>
      <c r="AY377" s="273">
        <v>884.54</v>
      </c>
      <c r="AZ377" s="273">
        <v>22.988219865692905</v>
      </c>
      <c r="BA377" s="273">
        <v>15329</v>
      </c>
      <c r="BB377" s="273">
        <v>0.7538605291629783</v>
      </c>
      <c r="BC377" s="273">
        <v>0</v>
      </c>
      <c r="BD377" s="273">
        <v>0</v>
      </c>
      <c r="BE377" s="273">
        <v>20325</v>
      </c>
      <c r="BF377" s="273">
        <v>20334</v>
      </c>
      <c r="BG377" s="273">
        <v>0.00044280442804428045</v>
      </c>
      <c r="BH377" s="273">
        <v>0</v>
      </c>
      <c r="BI377" s="273">
        <v>9</v>
      </c>
      <c r="BJ377" s="273">
        <v>0.00044260843906757157</v>
      </c>
      <c r="BK377" s="273">
        <v>3692180.720944839</v>
      </c>
      <c r="BL377" s="273">
        <v>6237.03</v>
      </c>
    </row>
    <row r="378" ht="12.75">
      <c r="BM378" s="273"/>
    </row>
  </sheetData>
  <sheetProtection/>
  <protectedRanges>
    <protectedRange sqref="G12:H12" name="Alue1"/>
    <protectedRange sqref="J32" name="Alue2"/>
    <protectedRange sqref="L36" name="Alue3"/>
    <protectedRange sqref="L42" name="Alue4"/>
  </protectedRanges>
  <mergeCells count="2">
    <mergeCell ref="B3:M3"/>
    <mergeCell ref="G12:H12"/>
  </mergeCells>
  <dataValidations count="1">
    <dataValidation type="list" allowBlank="1" showInputMessage="1" showErrorMessage="1" sqref="G12">
      <formula1>kuntanimi</formula1>
    </dataValidation>
  </dataValidations>
  <printOptions/>
  <pageMargins left="0.25" right="0.25" top="0.75" bottom="0.75" header="0.3" footer="0.3"/>
  <pageSetup fitToHeight="1" fitToWidth="1" horizontalDpi="600" verticalDpi="600" orientation="portrait" paperSize="9" scale="14" r:id="rId3"/>
  <legacyDrawing r:id="rId2"/>
</worksheet>
</file>

<file path=xl/worksheets/sheet3.xml><?xml version="1.0" encoding="utf-8"?>
<worksheet xmlns="http://schemas.openxmlformats.org/spreadsheetml/2006/main" xmlns:r="http://schemas.openxmlformats.org/officeDocument/2006/relationships">
  <sheetPr>
    <tabColor theme="6" tint="0.39998000860214233"/>
    <pageSetUpPr fitToPage="1"/>
  </sheetPr>
  <dimension ref="A1:I55"/>
  <sheetViews>
    <sheetView zoomScalePageLayoutView="0" workbookViewId="0" topLeftCell="A1">
      <selection activeCell="A1" sqref="A1"/>
    </sheetView>
  </sheetViews>
  <sheetFormatPr defaultColWidth="9.140625" defaultRowHeight="12.75"/>
  <cols>
    <col min="1" max="4" width="2.140625" style="5" customWidth="1"/>
    <col min="5" max="5" width="16.00390625" style="5" customWidth="1"/>
    <col min="6" max="7" width="17.00390625" style="5" customWidth="1"/>
    <col min="8" max="8" width="15.57421875" style="5" customWidth="1"/>
    <col min="9" max="9" width="19.28125" style="5" customWidth="1"/>
    <col min="10" max="16384" width="9.140625" style="5" customWidth="1"/>
  </cols>
  <sheetData>
    <row r="1" spans="1:9" ht="12.75">
      <c r="A1" s="106" t="str">
        <f>'2. Sammandrag'!A1</f>
        <v>17.9.2012, Kommunförbundet / SL</v>
      </c>
      <c r="E1" s="122"/>
      <c r="F1" s="33"/>
      <c r="G1" s="33"/>
      <c r="H1" s="33"/>
      <c r="I1" s="33"/>
    </row>
    <row r="2" spans="5:9" ht="12.75">
      <c r="E2" s="122"/>
      <c r="F2" s="33"/>
      <c r="G2" s="33"/>
      <c r="H2" s="79"/>
      <c r="I2" s="79"/>
    </row>
    <row r="3" spans="1:9" ht="18">
      <c r="A3" s="341" t="s">
        <v>417</v>
      </c>
      <c r="B3" s="342"/>
      <c r="C3" s="342"/>
      <c r="D3" s="342"/>
      <c r="E3" s="342"/>
      <c r="F3" s="342"/>
      <c r="G3" s="342"/>
      <c r="H3" s="342"/>
      <c r="I3" s="343"/>
    </row>
    <row r="4" spans="1:9" ht="12.75">
      <c r="A4" s="33"/>
      <c r="B4" s="33"/>
      <c r="C4" s="33"/>
      <c r="D4" s="33"/>
      <c r="E4" s="33"/>
      <c r="F4" s="31"/>
      <c r="G4" s="33"/>
      <c r="H4" s="33"/>
      <c r="I4" s="33"/>
    </row>
    <row r="5" spans="1:9" ht="12.75">
      <c r="A5" s="33"/>
      <c r="B5" s="74" t="s">
        <v>418</v>
      </c>
      <c r="C5" s="33"/>
      <c r="D5" s="33"/>
      <c r="E5" s="47"/>
      <c r="F5" s="288" t="s">
        <v>419</v>
      </c>
      <c r="H5" s="86"/>
      <c r="I5" s="86"/>
    </row>
    <row r="6" spans="1:9" ht="12.75">
      <c r="A6" s="33"/>
      <c r="B6" s="33"/>
      <c r="C6" s="33"/>
      <c r="D6" s="33"/>
      <c r="E6" s="134"/>
      <c r="F6" s="288" t="s">
        <v>420</v>
      </c>
      <c r="H6" s="86"/>
      <c r="I6" s="86"/>
    </row>
    <row r="7" spans="1:9" ht="12.75">
      <c r="A7" s="33"/>
      <c r="B7" s="33"/>
      <c r="C7" s="33"/>
      <c r="D7" s="33"/>
      <c r="E7" s="33"/>
      <c r="F7" s="31"/>
      <c r="G7" s="33"/>
      <c r="H7" s="33"/>
      <c r="I7" s="33"/>
    </row>
    <row r="8" spans="2:9" ht="12.75">
      <c r="B8" s="110" t="s">
        <v>421</v>
      </c>
      <c r="F8" s="11" t="str">
        <f>'2. Sammandrag'!G12</f>
        <v>Akaa</v>
      </c>
      <c r="G8" s="115"/>
      <c r="H8" s="33"/>
      <c r="I8" s="33"/>
    </row>
    <row r="9" spans="2:9" ht="12.75">
      <c r="B9" s="110" t="s">
        <v>389</v>
      </c>
      <c r="F9" s="208">
        <f>'2. Sammandrag'!$H$13</f>
        <v>17091</v>
      </c>
      <c r="G9" s="115"/>
      <c r="H9" s="33"/>
      <c r="I9" s="33"/>
    </row>
    <row r="10" spans="5:9" ht="12.75">
      <c r="E10" s="31"/>
      <c r="F10" s="33"/>
      <c r="G10" s="33"/>
      <c r="H10" s="33"/>
      <c r="I10" s="292" t="s">
        <v>431</v>
      </c>
    </row>
    <row r="11" spans="2:9" ht="12.75">
      <c r="B11" s="31" t="s">
        <v>647</v>
      </c>
      <c r="F11" s="33"/>
      <c r="G11" s="33"/>
      <c r="H11" s="33"/>
      <c r="I11" s="292" t="s">
        <v>432</v>
      </c>
    </row>
    <row r="12" spans="3:9" ht="18" customHeight="1">
      <c r="C12" s="290" t="s">
        <v>425</v>
      </c>
      <c r="D12" s="290"/>
      <c r="E12" s="289"/>
      <c r="F12" s="139" t="s">
        <v>422</v>
      </c>
      <c r="G12" s="139" t="s">
        <v>423</v>
      </c>
      <c r="H12" s="139" t="s">
        <v>424</v>
      </c>
      <c r="I12" s="132"/>
    </row>
    <row r="13" spans="3:9" ht="12.75">
      <c r="C13" s="289"/>
      <c r="D13" s="289"/>
      <c r="E13" s="291" t="s">
        <v>426</v>
      </c>
      <c r="F13" s="47">
        <f>INDEX(ika06v.,MATCH($F$8,kuntanimi,0),1,1)</f>
        <v>1518</v>
      </c>
      <c r="G13" s="127">
        <v>7122.39</v>
      </c>
      <c r="H13" s="203">
        <f>INDEX(phkerroin,MATCH($F$8,kuntanimi,0),1,1)</f>
        <v>1.0083509779131397</v>
      </c>
      <c r="I13" s="113">
        <f>F13*G13*H13</f>
        <v>10902077.022956569</v>
      </c>
    </row>
    <row r="14" spans="3:9" ht="12.75">
      <c r="C14" s="289"/>
      <c r="D14" s="289"/>
      <c r="E14" s="291" t="s">
        <v>427</v>
      </c>
      <c r="F14" s="47">
        <f>INDEX(ika764v,MATCH($F$8,kuntanimi,0),1,1)</f>
        <v>12463</v>
      </c>
      <c r="G14" s="127">
        <v>330.13</v>
      </c>
      <c r="H14" s="111"/>
      <c r="I14" s="113">
        <f>F14*G14</f>
        <v>4114410.19</v>
      </c>
    </row>
    <row r="15" spans="3:9" ht="12.75">
      <c r="C15" s="289"/>
      <c r="D15" s="289"/>
      <c r="E15" s="291" t="s">
        <v>428</v>
      </c>
      <c r="F15" s="47">
        <f>INDEX(ika6574v,MATCH($F$8,kuntanimi,0),1,1)</f>
        <v>1617</v>
      </c>
      <c r="G15" s="127">
        <v>988.59</v>
      </c>
      <c r="H15" s="111"/>
      <c r="I15" s="113">
        <f>F15*G15</f>
        <v>1598550.03</v>
      </c>
    </row>
    <row r="16" spans="3:9" ht="12.75">
      <c r="C16" s="289"/>
      <c r="D16" s="289"/>
      <c r="E16" s="291" t="s">
        <v>429</v>
      </c>
      <c r="F16" s="47">
        <f>INDEX(ika7584v,MATCH($F$8,kuntanimi,0),1,1)</f>
        <v>1063</v>
      </c>
      <c r="G16" s="127">
        <v>5924.1</v>
      </c>
      <c r="H16" s="111"/>
      <c r="I16" s="113">
        <f>F16*G16</f>
        <v>6297318.300000001</v>
      </c>
    </row>
    <row r="17" spans="3:9" ht="13.5" thickBot="1">
      <c r="C17" s="289"/>
      <c r="D17" s="289"/>
      <c r="E17" s="291" t="s">
        <v>430</v>
      </c>
      <c r="F17" s="239">
        <f>INDEX(ika85v,MATCH($F$8,kuntanimi,0),1,1)</f>
        <v>430</v>
      </c>
      <c r="G17" s="240">
        <v>16263.41</v>
      </c>
      <c r="H17" s="241"/>
      <c r="I17" s="242">
        <f>F17*G17</f>
        <v>6993266.3</v>
      </c>
    </row>
    <row r="18" spans="3:9" ht="13.5" thickTop="1">
      <c r="C18" s="289"/>
      <c r="D18" s="294" t="s">
        <v>433</v>
      </c>
      <c r="E18" s="294"/>
      <c r="F18" s="289"/>
      <c r="G18" s="293"/>
      <c r="H18" s="112"/>
      <c r="I18" s="26">
        <f>SUM(I13:I17)</f>
        <v>29905621.84295657</v>
      </c>
    </row>
    <row r="19" spans="3:9" ht="12.75">
      <c r="C19" s="289"/>
      <c r="D19" s="289"/>
      <c r="E19" s="289"/>
      <c r="F19" s="291"/>
      <c r="G19" s="295"/>
      <c r="H19" s="111"/>
      <c r="I19" s="113"/>
    </row>
    <row r="20" spans="3:9" ht="12.75">
      <c r="C20" s="289"/>
      <c r="D20" s="290" t="s">
        <v>434</v>
      </c>
      <c r="E20" s="290"/>
      <c r="F20" s="289"/>
      <c r="G20" s="296" t="s">
        <v>423</v>
      </c>
      <c r="H20" s="139" t="s">
        <v>424</v>
      </c>
      <c r="I20" s="113"/>
    </row>
    <row r="21" spans="5:9" ht="12.75">
      <c r="E21" s="31"/>
      <c r="F21" s="113"/>
      <c r="G21" s="127">
        <v>48.99</v>
      </c>
      <c r="H21" s="203">
        <f>INDEX(lskerroin,MATCH($F$8,kuntanimi,0),1,1)</f>
        <v>1.2491558819734332</v>
      </c>
      <c r="I21" s="19">
        <f>F9*G21*H21</f>
        <v>1045903.3425298014</v>
      </c>
    </row>
    <row r="22" spans="3:9" ht="12.75">
      <c r="C22" s="290" t="s">
        <v>435</v>
      </c>
      <c r="D22" s="290"/>
      <c r="E22" s="289"/>
      <c r="F22" s="295"/>
      <c r="G22" s="296" t="s">
        <v>423</v>
      </c>
      <c r="H22" s="139" t="s">
        <v>424</v>
      </c>
      <c r="I22" s="113"/>
    </row>
    <row r="23" spans="5:9" ht="12.75">
      <c r="E23" s="31"/>
      <c r="F23" s="113"/>
      <c r="G23" s="127">
        <v>17.33</v>
      </c>
      <c r="H23" s="203">
        <f>INDEX(Vammaiskerroin,MATCH($F$8,kuntanimi,0),1,1)</f>
        <v>1.1796630542951578</v>
      </c>
      <c r="I23" s="19">
        <f>F9*G23*H23</f>
        <v>349400.8964524115</v>
      </c>
    </row>
    <row r="24" spans="3:9" ht="12.75">
      <c r="C24" s="290" t="s">
        <v>436</v>
      </c>
      <c r="D24" s="290"/>
      <c r="E24" s="289"/>
      <c r="F24" s="295"/>
      <c r="G24" s="297"/>
      <c r="H24" s="111"/>
      <c r="I24" s="113"/>
    </row>
    <row r="25" spans="3:9" ht="12.75">
      <c r="C25" s="289"/>
      <c r="D25" s="298" t="s">
        <v>437</v>
      </c>
      <c r="E25" s="289"/>
      <c r="F25" s="299" t="s">
        <v>422</v>
      </c>
      <c r="G25" s="300" t="s">
        <v>423</v>
      </c>
      <c r="H25" s="116"/>
      <c r="I25" s="204"/>
    </row>
    <row r="26" spans="4:9" ht="12.75">
      <c r="D26" s="33"/>
      <c r="F26" s="47">
        <f>INDEX(tyottomat,MATCH($F$8,kuntanimi,0),1,1)</f>
        <v>858</v>
      </c>
      <c r="G26" s="127">
        <v>637.51</v>
      </c>
      <c r="H26" s="111"/>
      <c r="I26" s="113">
        <f>F26*G26</f>
        <v>546983.58</v>
      </c>
    </row>
    <row r="27" spans="4:9" ht="12.75">
      <c r="D27" s="298" t="s">
        <v>438</v>
      </c>
      <c r="F27" s="98"/>
      <c r="G27" s="125"/>
      <c r="H27" s="111"/>
      <c r="I27" s="113"/>
    </row>
    <row r="28" spans="5:9" ht="12.75">
      <c r="E28" s="128">
        <f>SUM(tyottomat)/SUM(tyovoima)*100</f>
        <v>9.451564435161064</v>
      </c>
      <c r="F28" s="98" t="s">
        <v>439</v>
      </c>
      <c r="G28" s="300" t="s">
        <v>423</v>
      </c>
      <c r="H28" s="206" t="s">
        <v>424</v>
      </c>
      <c r="I28" s="113"/>
    </row>
    <row r="29" spans="5:9" ht="12.75">
      <c r="E29" s="123">
        <f>INDEX(tyottomat,MATCH($F$8,kuntanimi,0),1,1)/INDEX(tyovoima,MATCH($F$8,kuntanimi,0),1,1)*100</f>
        <v>10.703592814371257</v>
      </c>
      <c r="F29" s="301" t="s">
        <v>440</v>
      </c>
      <c r="G29" s="127">
        <v>58.14</v>
      </c>
      <c r="H29" s="203">
        <f>INDEX(tyottomyyskerroin,MATCH($F$8,kuntanimi,0),1,1)</f>
        <v>1.132467845698907</v>
      </c>
      <c r="I29" s="113">
        <f>H29*G29*F9</f>
        <v>1125300.1622618386</v>
      </c>
    </row>
    <row r="30" spans="3:9" ht="12.75">
      <c r="C30" s="31" t="s">
        <v>313</v>
      </c>
      <c r="D30" s="31"/>
      <c r="F30" s="19"/>
      <c r="G30" s="114"/>
      <c r="H30" s="114"/>
      <c r="I30" s="19">
        <f>SUM(I26:I29)</f>
        <v>1672283.7422618386</v>
      </c>
    </row>
    <row r="31" spans="5:9" ht="12.75">
      <c r="E31" s="33"/>
      <c r="F31" s="113"/>
      <c r="G31" s="111"/>
      <c r="H31" s="111"/>
      <c r="I31" s="113"/>
    </row>
    <row r="32" spans="2:9" ht="12.75">
      <c r="B32" s="302" t="s">
        <v>441</v>
      </c>
      <c r="C32" s="283"/>
      <c r="D32" s="283"/>
      <c r="E32" s="284"/>
      <c r="F32" s="285"/>
      <c r="G32" s="286"/>
      <c r="H32" s="286"/>
      <c r="I32" s="205">
        <f>I18+I21+I23+I30</f>
        <v>32973209.82420062</v>
      </c>
    </row>
    <row r="33" spans="5:9" ht="12.75">
      <c r="E33" s="33"/>
      <c r="F33" s="113"/>
      <c r="G33" s="111"/>
      <c r="H33" s="111"/>
      <c r="I33" s="111"/>
    </row>
    <row r="34" spans="2:9" ht="12.75">
      <c r="B34" s="287" t="s">
        <v>442</v>
      </c>
      <c r="C34" s="289"/>
      <c r="D34" s="289"/>
      <c r="E34" s="290"/>
      <c r="F34" s="113"/>
      <c r="G34" s="111"/>
      <c r="H34" s="280"/>
      <c r="I34" s="111"/>
    </row>
    <row r="35" spans="2:9" ht="12.75">
      <c r="B35" s="289"/>
      <c r="C35" s="287" t="s">
        <v>443</v>
      </c>
      <c r="D35" s="287"/>
      <c r="E35" s="290"/>
      <c r="F35" s="113"/>
      <c r="G35" s="111"/>
      <c r="H35" s="280"/>
      <c r="I35" s="111"/>
    </row>
    <row r="36" spans="5:9" ht="12.75">
      <c r="E36" s="115"/>
      <c r="F36" s="139" t="s">
        <v>446</v>
      </c>
      <c r="G36" s="296" t="s">
        <v>423</v>
      </c>
      <c r="H36" s="116"/>
      <c r="I36" s="116"/>
    </row>
    <row r="37" spans="5:9" ht="12.75">
      <c r="E37" s="291" t="s">
        <v>426</v>
      </c>
      <c r="F37" s="98">
        <f>F13</f>
        <v>1518</v>
      </c>
      <c r="G37" s="282">
        <v>926.16</v>
      </c>
      <c r="H37" s="111"/>
      <c r="I37" s="113">
        <f>F37*G37</f>
        <v>1405910.88</v>
      </c>
    </row>
    <row r="38" spans="5:9" ht="12.75">
      <c r="E38" s="291" t="s">
        <v>427</v>
      </c>
      <c r="F38" s="113">
        <f>F14</f>
        <v>12463</v>
      </c>
      <c r="G38" s="282">
        <v>1006.1</v>
      </c>
      <c r="H38" s="111"/>
      <c r="I38" s="113">
        <f>F38*G38</f>
        <v>12539024.3</v>
      </c>
    </row>
    <row r="39" spans="5:9" ht="12.75">
      <c r="E39" s="291" t="s">
        <v>428</v>
      </c>
      <c r="F39" s="113">
        <f>F15</f>
        <v>1617</v>
      </c>
      <c r="G39" s="282">
        <v>2362.97</v>
      </c>
      <c r="H39" s="33"/>
      <c r="I39" s="113">
        <f>F39*G39</f>
        <v>3820922.4899999998</v>
      </c>
    </row>
    <row r="40" spans="5:9" ht="12.75">
      <c r="E40" s="291" t="s">
        <v>429</v>
      </c>
      <c r="F40" s="113">
        <f>F16</f>
        <v>1063</v>
      </c>
      <c r="G40" s="282">
        <v>4554.19</v>
      </c>
      <c r="H40" s="33"/>
      <c r="I40" s="113">
        <f>F40*G40</f>
        <v>4841103.97</v>
      </c>
    </row>
    <row r="41" spans="5:9" ht="12.75">
      <c r="E41" s="291" t="s">
        <v>430</v>
      </c>
      <c r="F41" s="113">
        <f>F17</f>
        <v>430</v>
      </c>
      <c r="G41" s="282">
        <v>7900.89</v>
      </c>
      <c r="H41" s="33"/>
      <c r="I41" s="113">
        <f>F41*G41</f>
        <v>3397382.7</v>
      </c>
    </row>
    <row r="42" spans="3:9" ht="12.75">
      <c r="C42" s="294" t="s">
        <v>444</v>
      </c>
      <c r="D42" s="19"/>
      <c r="F42" s="33"/>
      <c r="G42" s="111"/>
      <c r="H42" s="114"/>
      <c r="I42" s="19">
        <f>SUM(I37:I41)</f>
        <v>26004344.339999996</v>
      </c>
    </row>
    <row r="43" spans="5:9" ht="12.75">
      <c r="E43" s="33"/>
      <c r="F43" s="33"/>
      <c r="G43" s="111"/>
      <c r="H43" s="33"/>
      <c r="I43" s="113"/>
    </row>
    <row r="44" spans="3:9" ht="12.75">
      <c r="C44" s="290" t="s">
        <v>445</v>
      </c>
      <c r="D44" s="31"/>
      <c r="F44" s="139"/>
      <c r="G44" s="296" t="s">
        <v>423</v>
      </c>
      <c r="H44" s="296" t="s">
        <v>2</v>
      </c>
      <c r="I44" s="113"/>
    </row>
    <row r="45" spans="5:9" ht="12.75">
      <c r="E45" s="33"/>
      <c r="F45" s="113">
        <f>$F$9</f>
        <v>17091</v>
      </c>
      <c r="G45" s="282">
        <v>431.22</v>
      </c>
      <c r="H45" s="203">
        <f>INDEX(Sairastavuuskerroin,MATCH($F$8,kuntanimi,0),1,1)</f>
        <v>0.865377241596516</v>
      </c>
      <c r="I45" s="19">
        <f>F45*G45*H45</f>
        <v>6377813.8457062775</v>
      </c>
    </row>
    <row r="46" spans="5:9" ht="12.75">
      <c r="E46" s="33"/>
      <c r="F46" s="33"/>
      <c r="G46" s="111"/>
      <c r="H46" s="33"/>
      <c r="I46" s="33"/>
    </row>
    <row r="47" spans="2:9" ht="12.75">
      <c r="B47" s="303" t="s">
        <v>447</v>
      </c>
      <c r="C47" s="136"/>
      <c r="D47" s="136"/>
      <c r="E47" s="137"/>
      <c r="F47" s="137"/>
      <c r="G47" s="138"/>
      <c r="H47" s="137"/>
      <c r="I47" s="207">
        <f>I42+I45</f>
        <v>32382158.185706273</v>
      </c>
    </row>
    <row r="48" spans="5:9" ht="12.75">
      <c r="E48" s="33"/>
      <c r="F48" s="33"/>
      <c r="G48" s="111"/>
      <c r="H48" s="33"/>
      <c r="I48" s="33"/>
    </row>
    <row r="49" spans="2:9" ht="12.75">
      <c r="B49" s="294" t="s">
        <v>448</v>
      </c>
      <c r="E49" s="33"/>
      <c r="F49" s="33"/>
      <c r="G49" s="111"/>
      <c r="H49" s="33"/>
      <c r="I49" s="33"/>
    </row>
    <row r="50" spans="2:9" ht="12.75">
      <c r="B50" s="294" t="s">
        <v>449</v>
      </c>
      <c r="C50" s="289"/>
      <c r="D50" s="289"/>
      <c r="E50" s="289"/>
      <c r="F50" s="291"/>
      <c r="G50" s="297"/>
      <c r="H50" s="33"/>
      <c r="I50" s="19">
        <f>I18+I21+I23+I30+I42+I45</f>
        <v>65355368.009906895</v>
      </c>
    </row>
    <row r="51" spans="2:9" ht="12.75">
      <c r="B51" s="289"/>
      <c r="C51" s="289"/>
      <c r="D51" s="289"/>
      <c r="E51" s="291"/>
      <c r="F51" s="291"/>
      <c r="G51" s="297"/>
      <c r="H51" s="33"/>
      <c r="I51" s="33"/>
    </row>
    <row r="52" spans="2:9" ht="12.75">
      <c r="B52" s="289"/>
      <c r="C52" s="289"/>
      <c r="D52" s="289"/>
      <c r="E52" s="290" t="s">
        <v>450</v>
      </c>
      <c r="F52" s="291"/>
      <c r="G52" s="304"/>
      <c r="H52" s="124">
        <f>INDEX(syrjaisyyskerroin,MATCH($F$8,kuntanimi,0),1,1)</f>
        <v>0</v>
      </c>
      <c r="I52" s="19">
        <f>I50*H52</f>
        <v>0</v>
      </c>
    </row>
    <row r="53" spans="5:9" ht="12.75">
      <c r="E53" s="33"/>
      <c r="F53" s="33"/>
      <c r="G53" s="111"/>
      <c r="H53" s="33"/>
      <c r="I53" s="33"/>
    </row>
    <row r="54" spans="1:9" ht="12.75">
      <c r="A54" s="305" t="s">
        <v>451</v>
      </c>
      <c r="B54" s="135"/>
      <c r="C54" s="135"/>
      <c r="D54" s="135"/>
      <c r="E54" s="135"/>
      <c r="F54" s="121"/>
      <c r="G54" s="126"/>
      <c r="H54" s="121"/>
      <c r="I54" s="131">
        <f>I18+I21+I23+I30+I42+I45+I52</f>
        <v>65355368.009906895</v>
      </c>
    </row>
    <row r="55" ht="12.75">
      <c r="I55" s="182" t="s">
        <v>452</v>
      </c>
    </row>
    <row r="56" ht="12.75"/>
    <row r="57" ht="12.75"/>
    <row r="59" ht="12.75"/>
    <row r="60" ht="12.75"/>
    <row r="61" ht="12.75"/>
    <row r="62" ht="12.75"/>
  </sheetData>
  <sheetProtection/>
  <protectedRanges>
    <protectedRange sqref="F13:F17" name="Alue1"/>
    <protectedRange sqref="H13" name="Alue2"/>
    <protectedRange sqref="G21:H21" name="Alue3"/>
    <protectedRange sqref="G23:H23" name="Alue4"/>
    <protectedRange sqref="F26:G26" name="Alue5"/>
    <protectedRange sqref="G13:G17" name="Alue6"/>
    <protectedRange sqref="E28:E29" name="Alue7"/>
    <protectedRange sqref="G29:H29" name="Alue8"/>
    <protectedRange sqref="G37:G41" name="Alue9"/>
    <protectedRange sqref="G45:H45" name="Alue10"/>
    <protectedRange sqref="H52" name="Alue11"/>
  </protectedRanges>
  <mergeCells count="1">
    <mergeCell ref="A3:I3"/>
  </mergeCells>
  <printOptions/>
  <pageMargins left="0.75" right="0.75" top="1" bottom="1" header="0.4921259845" footer="0.4921259845"/>
  <pageSetup fitToHeight="1" fitToWidth="1" horizontalDpi="600" verticalDpi="600" orientation="portrait" paperSize="9" scale="94" r:id="rId3"/>
  <legacyDrawing r:id="rId2"/>
</worksheet>
</file>

<file path=xl/worksheets/sheet4.xml><?xml version="1.0" encoding="utf-8"?>
<worksheet xmlns="http://schemas.openxmlformats.org/spreadsheetml/2006/main" xmlns:r="http://schemas.openxmlformats.org/officeDocument/2006/relationships">
  <sheetPr>
    <tabColor theme="6" tint="0.39998000860214233"/>
    <pageSetUpPr fitToPage="1"/>
  </sheetPr>
  <dimension ref="A1:J47"/>
  <sheetViews>
    <sheetView zoomScalePageLayoutView="0" workbookViewId="0" topLeftCell="A1">
      <selection activeCell="A1" sqref="A1"/>
    </sheetView>
  </sheetViews>
  <sheetFormatPr defaultColWidth="9.140625" defaultRowHeight="12.75"/>
  <cols>
    <col min="1" max="2" width="2.00390625" style="0" customWidth="1"/>
    <col min="3" max="3" width="3.140625" style="0" customWidth="1"/>
    <col min="4" max="4" width="3.8515625" style="0" customWidth="1"/>
    <col min="5" max="5" width="13.57421875" style="0" customWidth="1"/>
    <col min="6" max="6" width="21.421875" style="0" customWidth="1"/>
    <col min="7" max="7" width="16.7109375" style="0" customWidth="1"/>
    <col min="8" max="8" width="8.421875" style="0" customWidth="1"/>
    <col min="9" max="9" width="6.140625" style="0" customWidth="1"/>
    <col min="10" max="10" width="13.7109375" style="0" bestFit="1" customWidth="1"/>
  </cols>
  <sheetData>
    <row r="1" spans="1:10" ht="12.75">
      <c r="A1" s="106" t="str">
        <f>'2. Sammandrag'!A1</f>
        <v>17.9.2012, Kommunförbundet / SL</v>
      </c>
      <c r="F1" s="122"/>
      <c r="G1" s="6"/>
      <c r="H1" s="6"/>
      <c r="I1" s="6"/>
      <c r="J1" s="6"/>
    </row>
    <row r="2" spans="6:10" ht="12.75">
      <c r="F2" s="122"/>
      <c r="G2" s="6"/>
      <c r="H2" s="6"/>
      <c r="I2" s="6"/>
      <c r="J2" s="6"/>
    </row>
    <row r="3" spans="1:10" ht="15">
      <c r="A3" s="344" t="s">
        <v>453</v>
      </c>
      <c r="B3" s="345"/>
      <c r="C3" s="345"/>
      <c r="D3" s="345"/>
      <c r="E3" s="345"/>
      <c r="F3" s="345"/>
      <c r="G3" s="345"/>
      <c r="H3" s="345"/>
      <c r="I3" s="345"/>
      <c r="J3" s="346"/>
    </row>
    <row r="4" spans="1:10" ht="15">
      <c r="A4" s="347" t="s">
        <v>454</v>
      </c>
      <c r="B4" s="348"/>
      <c r="C4" s="348"/>
      <c r="D4" s="348"/>
      <c r="E4" s="348"/>
      <c r="F4" s="348"/>
      <c r="G4" s="348"/>
      <c r="H4" s="348"/>
      <c r="I4" s="348"/>
      <c r="J4" s="349"/>
    </row>
    <row r="5" spans="6:10" ht="12.75">
      <c r="F5" s="8"/>
      <c r="G5" s="8"/>
      <c r="H5" s="6"/>
      <c r="I5" s="6"/>
      <c r="J5" s="6"/>
    </row>
    <row r="6" spans="3:10" ht="12.75">
      <c r="C6" s="307" t="s">
        <v>385</v>
      </c>
      <c r="D6" s="291"/>
      <c r="E6" s="306"/>
      <c r="F6" s="288" t="s">
        <v>419</v>
      </c>
      <c r="G6" s="289"/>
      <c r="I6" s="6"/>
      <c r="J6" s="6"/>
    </row>
    <row r="7" spans="3:10" ht="12.75">
      <c r="C7" s="291"/>
      <c r="D7" s="291"/>
      <c r="E7" s="308"/>
      <c r="F7" s="288" t="s">
        <v>420</v>
      </c>
      <c r="G7" s="289"/>
      <c r="I7" s="6"/>
      <c r="J7" s="6"/>
    </row>
    <row r="8" spans="6:10" ht="12.75">
      <c r="F8" s="8"/>
      <c r="G8" s="8"/>
      <c r="H8" s="6"/>
      <c r="I8" s="6"/>
      <c r="J8" s="6"/>
    </row>
    <row r="9" spans="2:10" ht="15.75" customHeight="1">
      <c r="B9" s="311" t="s">
        <v>388</v>
      </c>
      <c r="C9" s="289"/>
      <c r="D9" s="289"/>
      <c r="E9" s="310"/>
      <c r="F9" s="208" t="str">
        <f>'2. Sammandrag'!G12</f>
        <v>Akaa</v>
      </c>
      <c r="H9" s="6"/>
      <c r="I9" s="6"/>
      <c r="J9" s="6"/>
    </row>
    <row r="10" spans="2:10" ht="15.75" customHeight="1">
      <c r="B10" s="311" t="s">
        <v>389</v>
      </c>
      <c r="C10" s="289"/>
      <c r="D10" s="289"/>
      <c r="E10" s="309"/>
      <c r="F10" s="208">
        <f>'2. Sammandrag'!$H$13</f>
        <v>17091</v>
      </c>
      <c r="H10" s="6"/>
      <c r="I10" s="6"/>
      <c r="J10" s="6"/>
    </row>
    <row r="11" spans="2:10" ht="15.75" customHeight="1">
      <c r="B11" s="110"/>
      <c r="E11" s="8"/>
      <c r="G11" s="8"/>
      <c r="H11" s="6"/>
      <c r="I11" s="6"/>
      <c r="J11" s="6"/>
    </row>
    <row r="12" spans="2:10" ht="15.75" customHeight="1">
      <c r="B12" s="290" t="s">
        <v>455</v>
      </c>
      <c r="C12" s="289"/>
      <c r="D12" s="289"/>
      <c r="E12" s="289"/>
      <c r="F12" s="289"/>
      <c r="G12" s="8"/>
      <c r="H12" s="6"/>
      <c r="I12" s="6"/>
      <c r="J12" s="6"/>
    </row>
    <row r="13" spans="2:10" ht="15.75" customHeight="1">
      <c r="B13" s="289"/>
      <c r="C13" s="312" t="s">
        <v>456</v>
      </c>
      <c r="D13" s="289"/>
      <c r="E13" s="309"/>
      <c r="F13" s="289"/>
      <c r="G13" s="129">
        <v>7519.5</v>
      </c>
      <c r="I13" s="18"/>
      <c r="J13" s="6"/>
    </row>
    <row r="14" spans="3:10" ht="15.75" customHeight="1">
      <c r="C14" s="5"/>
      <c r="E14" s="8"/>
      <c r="G14" s="18"/>
      <c r="I14" s="18"/>
      <c r="J14" s="6"/>
    </row>
    <row r="15" spans="3:10" ht="15.75" customHeight="1">
      <c r="C15" s="5"/>
      <c r="D15" s="290" t="s">
        <v>443</v>
      </c>
      <c r="E15" s="290"/>
      <c r="F15" s="139" t="s">
        <v>1</v>
      </c>
      <c r="I15" s="18"/>
      <c r="J15" s="6"/>
    </row>
    <row r="16" spans="3:10" ht="15.75" customHeight="1">
      <c r="C16" s="5"/>
      <c r="D16" s="312"/>
      <c r="E16" s="291" t="s">
        <v>457</v>
      </c>
      <c r="F16" s="36">
        <f>INDEX(ika6v,MATCH($F$9,kuntanimi,0),1,1)</f>
        <v>244</v>
      </c>
      <c r="I16" s="18"/>
      <c r="J16" s="6"/>
    </row>
    <row r="17" spans="3:10" ht="15.75" customHeight="1">
      <c r="C17" s="5"/>
      <c r="D17" s="312"/>
      <c r="E17" s="291" t="s">
        <v>458</v>
      </c>
      <c r="F17" s="36">
        <f>INDEX(ika712v,MATCH($F$9,kuntanimi,0),1,1)</f>
        <v>1279</v>
      </c>
      <c r="I17" s="18"/>
      <c r="J17" s="139" t="s">
        <v>431</v>
      </c>
    </row>
    <row r="18" spans="4:10" ht="15.75" customHeight="1" thickBot="1">
      <c r="D18" s="312"/>
      <c r="E18" s="313" t="s">
        <v>459</v>
      </c>
      <c r="F18" s="142">
        <f>INDEX(ika1315v,MATCH($F$9,kuntanimi,0),1,1)</f>
        <v>626</v>
      </c>
      <c r="H18" s="10"/>
      <c r="I18" s="10"/>
      <c r="J18" s="139" t="s">
        <v>642</v>
      </c>
    </row>
    <row r="19" spans="3:10" ht="15.75" customHeight="1" thickBot="1" thickTop="1">
      <c r="C19" s="144"/>
      <c r="D19" s="144"/>
      <c r="E19" s="144" t="s">
        <v>460</v>
      </c>
      <c r="F19" s="259">
        <f>SUM($F$16:$F$18)</f>
        <v>2149</v>
      </c>
      <c r="G19" s="144"/>
      <c r="H19" s="260"/>
      <c r="I19" s="260"/>
      <c r="J19" s="261" t="s">
        <v>643</v>
      </c>
    </row>
    <row r="20" spans="3:10" ht="15.75" customHeight="1" thickTop="1">
      <c r="C20" s="314" t="s">
        <v>461</v>
      </c>
      <c r="D20" s="289"/>
      <c r="E20" s="289"/>
      <c r="F20" s="289"/>
      <c r="G20" s="17">
        <f>G13*(F17+F18+(0.91*F16))</f>
        <v>15994277.28</v>
      </c>
      <c r="H20" s="18">
        <v>0.77</v>
      </c>
      <c r="I20" s="18"/>
      <c r="J20" s="19">
        <f>G20*H20</f>
        <v>12315593.5056</v>
      </c>
    </row>
    <row r="21" spans="3:10" ht="14.25" customHeight="1">
      <c r="C21" s="289"/>
      <c r="D21" s="289"/>
      <c r="E21" s="289"/>
      <c r="F21" s="289"/>
      <c r="G21" s="17"/>
      <c r="H21" s="18"/>
      <c r="I21" s="18"/>
      <c r="J21" s="19"/>
    </row>
    <row r="22" spans="3:10" ht="15.75" customHeight="1">
      <c r="C22" s="287" t="s">
        <v>462</v>
      </c>
      <c r="D22" s="289"/>
      <c r="E22" s="289"/>
      <c r="F22" s="289"/>
      <c r="G22" s="143"/>
      <c r="H22" s="18"/>
      <c r="I22" s="18"/>
      <c r="J22" s="262" t="s">
        <v>413</v>
      </c>
    </row>
    <row r="23" spans="3:10" ht="15.75" customHeight="1">
      <c r="C23" s="289"/>
      <c r="D23" s="293" t="s">
        <v>463</v>
      </c>
      <c r="E23" s="289"/>
      <c r="F23" s="289"/>
      <c r="G23" s="209">
        <f>INDEX(asukastiheys,MATCH($F$9,kuntanimi,0),1,1)</f>
        <v>58.303199836255715</v>
      </c>
      <c r="H23" s="20"/>
      <c r="I23" s="21">
        <f>IF(G23&lt;=40,0.1*(LN(40)-LN(G23)),0)*G20</f>
        <v>0</v>
      </c>
      <c r="J23" s="22">
        <f>IF($G$23=0,0,I23)</f>
        <v>0</v>
      </c>
    </row>
    <row r="24" spans="3:10" ht="15.75" customHeight="1">
      <c r="C24" s="289"/>
      <c r="D24" s="310" t="s">
        <v>464</v>
      </c>
      <c r="E24" s="289"/>
      <c r="F24" s="289"/>
      <c r="G24" s="23"/>
      <c r="H24" s="20"/>
      <c r="I24" s="21">
        <f>IF(G23&lt;4,0.017*MIN(1,4-G23)*(LN(40)-LN(G23)),0)*G20</f>
        <v>0</v>
      </c>
      <c r="J24" s="22">
        <f>IF($G$23=0,0,I24)</f>
        <v>0</v>
      </c>
    </row>
    <row r="25" spans="3:10" ht="15.75" customHeight="1">
      <c r="C25" s="289"/>
      <c r="D25" s="316" t="s">
        <v>465</v>
      </c>
      <c r="E25" s="289"/>
      <c r="F25" s="289"/>
      <c r="G25" s="16">
        <f>F18</f>
        <v>626</v>
      </c>
      <c r="H25" s="24">
        <v>0.3</v>
      </c>
      <c r="I25" s="24"/>
      <c r="J25" s="25">
        <f>IF(G25=0,0,H25*(F18/F19)*G20)</f>
        <v>1397731.6301461144</v>
      </c>
    </row>
    <row r="26" spans="3:10" ht="15.75" customHeight="1">
      <c r="C26" s="289"/>
      <c r="D26" s="315" t="s">
        <v>466</v>
      </c>
      <c r="E26" s="289"/>
      <c r="F26" s="289"/>
      <c r="G26" s="210">
        <f>INDEX(Kaksikielisyys,MATCH($F$9,kuntanimi,0),1,1)</f>
        <v>0</v>
      </c>
      <c r="H26" s="24">
        <v>0.04</v>
      </c>
      <c r="I26" s="24"/>
      <c r="J26" s="25">
        <f>IF(G26=1,G20*H26,0)</f>
        <v>0</v>
      </c>
    </row>
    <row r="27" spans="3:10" ht="15.75" customHeight="1">
      <c r="C27" s="289"/>
      <c r="D27" s="315" t="s">
        <v>467</v>
      </c>
      <c r="E27" s="289"/>
      <c r="F27" s="289"/>
      <c r="G27" s="210">
        <f>IF(INDEX(Saaristo,MATCH($F$9,kuntanimi,0),1,1)=2,1,0)</f>
        <v>0</v>
      </c>
      <c r="H27" s="24">
        <v>0.06</v>
      </c>
      <c r="I27" s="24"/>
      <c r="J27" s="25">
        <f>IF(G27=1,$G$20*H27,0)</f>
        <v>0</v>
      </c>
    </row>
    <row r="28" spans="3:10" ht="15.75" customHeight="1">
      <c r="C28" s="289"/>
      <c r="D28" s="315" t="s">
        <v>468</v>
      </c>
      <c r="E28" s="289"/>
      <c r="F28" s="289"/>
      <c r="G28" s="210">
        <f>IF(INDEX(Saaristo,MATCH($F$9,kuntanimi,0),1,1)=3,1,0)</f>
        <v>0</v>
      </c>
      <c r="H28" s="24">
        <v>0.25</v>
      </c>
      <c r="I28" s="24"/>
      <c r="J28" s="25">
        <f>IF(G28=2,$G$20*H28,0)</f>
        <v>0</v>
      </c>
    </row>
    <row r="29" spans="3:10" ht="15.75" customHeight="1">
      <c r="C29" s="289"/>
      <c r="D29" s="293" t="s">
        <v>469</v>
      </c>
      <c r="E29" s="289"/>
      <c r="F29" s="289"/>
      <c r="G29" s="36">
        <f>INDEX(ruotsink615v,MATCH($F$9,kuntanimi,0),1,1)</f>
        <v>6</v>
      </c>
      <c r="H29" s="24">
        <v>0.12</v>
      </c>
      <c r="I29" s="24"/>
      <c r="J29" s="25">
        <f>IF(G29=0,0,H29*G29/$F$19*$G$20)</f>
        <v>5358.71551493718</v>
      </c>
    </row>
    <row r="30" spans="3:10" ht="15.75" customHeight="1" thickBot="1">
      <c r="C30" s="317"/>
      <c r="D30" s="313" t="s">
        <v>470</v>
      </c>
      <c r="E30" s="317"/>
      <c r="F30" s="317"/>
      <c r="G30" s="142">
        <f>INDEX(vierask615v,MATCH($F$9,kuntanimi,0),1,1)</f>
        <v>29</v>
      </c>
      <c r="H30" s="145">
        <v>0.2</v>
      </c>
      <c r="I30" s="145"/>
      <c r="J30" s="146">
        <f>IF(G30=0,0,H30*G30/$F$19*$G$20)</f>
        <v>43167.430536993954</v>
      </c>
    </row>
    <row r="31" spans="3:10" ht="15.75" customHeight="1" thickTop="1">
      <c r="C31" s="314" t="s">
        <v>471</v>
      </c>
      <c r="G31" s="9"/>
      <c r="H31" s="24"/>
      <c r="I31" s="24"/>
      <c r="J31" s="26">
        <f>SUM(J23:J30)</f>
        <v>1446257.7761980456</v>
      </c>
    </row>
    <row r="32" spans="3:10" ht="12.75" customHeight="1">
      <c r="C32" s="12"/>
      <c r="G32" s="9"/>
      <c r="H32" s="24"/>
      <c r="I32" s="24"/>
      <c r="J32" s="26"/>
    </row>
    <row r="33" spans="2:10" ht="15.75" customHeight="1">
      <c r="B33" s="318" t="s">
        <v>472</v>
      </c>
      <c r="C33" s="108"/>
      <c r="D33" s="108"/>
      <c r="E33" s="121"/>
      <c r="F33" s="108"/>
      <c r="G33" s="177"/>
      <c r="H33" s="256"/>
      <c r="I33" s="256"/>
      <c r="J33" s="131">
        <f>J20+J31</f>
        <v>13761851.281798046</v>
      </c>
    </row>
    <row r="34" spans="5:10" ht="12" customHeight="1">
      <c r="E34" s="15"/>
      <c r="G34" s="27"/>
      <c r="H34" s="8"/>
      <c r="I34" s="8"/>
      <c r="J34" s="8"/>
    </row>
    <row r="35" spans="2:10" ht="15.75" customHeight="1">
      <c r="B35" s="287" t="s">
        <v>473</v>
      </c>
      <c r="C35" s="289"/>
      <c r="D35" s="289"/>
      <c r="E35" s="314"/>
      <c r="F35" s="289"/>
      <c r="G35" s="27"/>
      <c r="H35" s="8"/>
      <c r="I35" s="8"/>
      <c r="J35" s="8"/>
    </row>
    <row r="36" spans="2:10" ht="15.75" customHeight="1">
      <c r="B36" s="289"/>
      <c r="C36" s="314" t="s">
        <v>474</v>
      </c>
      <c r="D36" s="289"/>
      <c r="E36" s="289"/>
      <c r="F36" s="289"/>
      <c r="G36" s="28">
        <f>IF(G23&lt;=2,G37*0.2,0)</f>
        <v>0</v>
      </c>
      <c r="H36" s="28">
        <f>IF(G23&lt;5,G37*0.1,0)</f>
        <v>0</v>
      </c>
      <c r="I36" s="28">
        <f>IF(G23=0,G37*0.2,0)</f>
        <v>0</v>
      </c>
      <c r="J36" s="29">
        <f>IF(G23&lt;=2,G37+G36-I36,G37+H36)</f>
        <v>62.19</v>
      </c>
    </row>
    <row r="37" spans="2:10" ht="15.75" customHeight="1">
      <c r="B37" s="289"/>
      <c r="C37" s="289"/>
      <c r="D37" s="309" t="s">
        <v>475</v>
      </c>
      <c r="E37" s="289"/>
      <c r="F37" s="289"/>
      <c r="G37" s="130">
        <v>62.19</v>
      </c>
      <c r="H37" s="33" t="s">
        <v>400</v>
      </c>
      <c r="I37" s="8"/>
      <c r="J37" s="8"/>
    </row>
    <row r="38" spans="2:10" ht="15.75" customHeight="1">
      <c r="B38" s="289"/>
      <c r="C38" s="289"/>
      <c r="D38" s="309" t="s">
        <v>476</v>
      </c>
      <c r="E38" s="289"/>
      <c r="F38" s="289"/>
      <c r="G38" s="30">
        <f>IF(OR(G27&gt;0,G28&gt;0,G23&lt;=2),0.2*G37,IF(G23&lt;=5,0.1*G37,0))+G37</f>
        <v>62.19</v>
      </c>
      <c r="H38" s="33" t="s">
        <v>400</v>
      </c>
      <c r="I38" s="22"/>
      <c r="J38" s="22">
        <f>G38*$F$10</f>
        <v>1062889.29</v>
      </c>
    </row>
    <row r="39" spans="2:10" ht="15.75" customHeight="1">
      <c r="B39" s="289"/>
      <c r="C39" s="287" t="s">
        <v>477</v>
      </c>
      <c r="D39" s="289"/>
      <c r="E39" s="290"/>
      <c r="F39" s="289"/>
      <c r="G39" s="8"/>
      <c r="H39" s="32"/>
      <c r="I39" s="32"/>
      <c r="J39" s="26">
        <f>J37+J38</f>
        <v>1062889.29</v>
      </c>
    </row>
    <row r="40" spans="5:10" ht="15.75" customHeight="1">
      <c r="E40" s="15"/>
      <c r="G40" s="9"/>
      <c r="H40" s="24"/>
      <c r="I40" s="24"/>
      <c r="J40" s="13"/>
    </row>
    <row r="41" spans="3:10" ht="15.75" customHeight="1">
      <c r="C41" s="290" t="s">
        <v>478</v>
      </c>
      <c r="D41" s="289"/>
      <c r="E41" s="289"/>
      <c r="G41" s="130">
        <v>3.5</v>
      </c>
      <c r="H41" s="33" t="s">
        <v>400</v>
      </c>
      <c r="I41" s="22"/>
      <c r="J41" s="19">
        <f>G41*$F$10</f>
        <v>59818.5</v>
      </c>
    </row>
    <row r="42" spans="3:9" ht="15.75" customHeight="1">
      <c r="C42" s="290" t="s">
        <v>479</v>
      </c>
      <c r="D42" s="289"/>
      <c r="E42" s="289"/>
      <c r="G42" s="129">
        <v>1.4</v>
      </c>
      <c r="H42" s="33" t="s">
        <v>400</v>
      </c>
      <c r="I42" s="22"/>
    </row>
    <row r="43" spans="3:10" ht="15.75" customHeight="1">
      <c r="C43" s="31"/>
      <c r="D43" s="5" t="s">
        <v>480</v>
      </c>
      <c r="G43" s="36">
        <f>INDEX(tpojarj,MATCH(F9,kuntanimi,0),1,1)</f>
        <v>1</v>
      </c>
      <c r="H43" s="154" t="s">
        <v>481</v>
      </c>
      <c r="I43" s="22"/>
      <c r="J43" s="19">
        <f>IF(G43=1,G42*$F$10,0)</f>
        <v>23927.399999999998</v>
      </c>
    </row>
    <row r="44" spans="5:10" ht="12" customHeight="1">
      <c r="E44" s="9"/>
      <c r="G44" s="6"/>
      <c r="H44" s="6"/>
      <c r="I44" s="6"/>
      <c r="J44" s="6"/>
    </row>
    <row r="45" spans="7:10" ht="12" customHeight="1">
      <c r="G45" s="31"/>
      <c r="H45" s="31"/>
      <c r="I45" s="31"/>
      <c r="J45" s="31"/>
    </row>
    <row r="46" spans="1:10" ht="15.75" customHeight="1">
      <c r="A46" s="319" t="s">
        <v>482</v>
      </c>
      <c r="B46" s="108"/>
      <c r="C46" s="108"/>
      <c r="D46" s="108"/>
      <c r="E46" s="108"/>
      <c r="F46" s="108"/>
      <c r="G46" s="121"/>
      <c r="H46" s="121"/>
      <c r="I46" s="121"/>
      <c r="J46" s="131">
        <f>J33+J39+J41+J43</f>
        <v>14908486.471798046</v>
      </c>
    </row>
    <row r="47" spans="6:10" ht="15.75" customHeight="1">
      <c r="F47" s="12"/>
      <c r="G47" s="31"/>
      <c r="H47" s="31"/>
      <c r="I47" s="31"/>
      <c r="J47" s="182" t="s">
        <v>452</v>
      </c>
    </row>
    <row r="48" ht="15.75" customHeight="1"/>
    <row r="49" ht="15.75" customHeight="1"/>
    <row r="50" ht="15.75" customHeight="1"/>
  </sheetData>
  <sheetProtection/>
  <protectedRanges>
    <protectedRange sqref="G41:G43" name="Alue6"/>
    <protectedRange sqref="G37" name="Alue5"/>
    <protectedRange sqref="G26:G30" name="Alue4"/>
    <protectedRange sqref="G23" name="Alue3"/>
    <protectedRange sqref="F16:F18" name="Alue2"/>
    <protectedRange sqref="G13" name="Alue1"/>
  </protectedRanges>
  <mergeCells count="2">
    <mergeCell ref="A3:J3"/>
    <mergeCell ref="A4:J4"/>
  </mergeCells>
  <printOptions/>
  <pageMargins left="0.75" right="0.75" top="1" bottom="1" header="0.4921259845" footer="0.4921259845"/>
  <pageSetup fitToHeight="1" fitToWidth="1" horizontalDpi="600" verticalDpi="600" orientation="portrait" paperSize="9" scale="96" r:id="rId3"/>
  <legacyDrawing r:id="rId2"/>
</worksheet>
</file>

<file path=xl/worksheets/sheet5.xml><?xml version="1.0" encoding="utf-8"?>
<worksheet xmlns="http://schemas.openxmlformats.org/spreadsheetml/2006/main" xmlns:r="http://schemas.openxmlformats.org/officeDocument/2006/relationships">
  <sheetPr>
    <tabColor theme="6" tint="0.39998000860214233"/>
    <pageSetUpPr fitToPage="1"/>
  </sheetPr>
  <dimension ref="A1:J57"/>
  <sheetViews>
    <sheetView zoomScalePageLayoutView="0" workbookViewId="0" topLeftCell="A1">
      <selection activeCell="A1" sqref="A1"/>
    </sheetView>
  </sheetViews>
  <sheetFormatPr defaultColWidth="9.140625" defaultRowHeight="12.75"/>
  <cols>
    <col min="1" max="2" width="2.28125" style="8" customWidth="1"/>
    <col min="3" max="4" width="3.8515625" style="8" customWidth="1"/>
    <col min="5" max="5" width="11.140625" style="8" customWidth="1"/>
    <col min="6" max="6" width="26.421875" style="8" customWidth="1"/>
    <col min="7" max="7" width="8.57421875" style="8" customWidth="1"/>
    <col min="8" max="8" width="10.8515625" style="8" customWidth="1"/>
    <col min="9" max="9" width="12.8515625" style="30" customWidth="1"/>
    <col min="10" max="10" width="12.140625" style="22" customWidth="1"/>
    <col min="11" max="16384" width="9.140625" style="8" customWidth="1"/>
  </cols>
  <sheetData>
    <row r="1" spans="1:6" ht="15.75">
      <c r="A1" s="106" t="str">
        <f>'2. Sammandrag'!A1</f>
        <v>17.9.2012, Kommunförbundet / SL</v>
      </c>
      <c r="E1" s="55"/>
      <c r="F1" s="55"/>
    </row>
    <row r="2" spans="5:6" ht="15.75">
      <c r="E2" s="55"/>
      <c r="F2" s="55"/>
    </row>
    <row r="3" spans="1:10" ht="15.75">
      <c r="A3" s="350" t="s">
        <v>483</v>
      </c>
      <c r="B3" s="351"/>
      <c r="C3" s="351"/>
      <c r="D3" s="351"/>
      <c r="E3" s="351"/>
      <c r="F3" s="351"/>
      <c r="G3" s="351"/>
      <c r="H3" s="351"/>
      <c r="I3" s="351"/>
      <c r="J3" s="352"/>
    </row>
    <row r="4" spans="5:6" ht="12.75">
      <c r="E4" s="7"/>
      <c r="F4" s="7"/>
    </row>
    <row r="5" spans="3:8" ht="12.75">
      <c r="C5" s="307" t="s">
        <v>418</v>
      </c>
      <c r="D5" s="291"/>
      <c r="E5" s="306"/>
      <c r="F5" s="288" t="s">
        <v>419</v>
      </c>
      <c r="G5" s="289"/>
      <c r="H5" s="289"/>
    </row>
    <row r="6" spans="3:8" ht="12.75">
      <c r="C6" s="291"/>
      <c r="D6" s="291"/>
      <c r="E6" s="320"/>
      <c r="F6" s="288" t="s">
        <v>420</v>
      </c>
      <c r="G6" s="289"/>
      <c r="H6" s="289"/>
    </row>
    <row r="7" spans="5:6" ht="12.75">
      <c r="E7" s="7"/>
      <c r="F7" s="7"/>
    </row>
    <row r="8" spans="2:6" ht="12.75">
      <c r="B8" s="110" t="s">
        <v>388</v>
      </c>
      <c r="E8" s="12"/>
      <c r="F8" s="263" t="str">
        <f>'2. Sammandrag'!G12</f>
        <v>Akaa</v>
      </c>
    </row>
    <row r="9" spans="2:6" ht="12.75">
      <c r="B9" s="110" t="s">
        <v>389</v>
      </c>
      <c r="E9" s="7"/>
      <c r="F9" s="208">
        <f>'2. Sammandrag'!$H$13</f>
        <v>17091</v>
      </c>
    </row>
    <row r="10" spans="8:10" ht="12.75">
      <c r="H10" s="58"/>
      <c r="J10" s="267" t="s">
        <v>413</v>
      </c>
    </row>
    <row r="11" spans="2:10" ht="25.5">
      <c r="B11" s="290" t="s">
        <v>484</v>
      </c>
      <c r="C11" s="289"/>
      <c r="D11" s="289"/>
      <c r="E11" s="289"/>
      <c r="F11" s="289"/>
      <c r="H11" s="58"/>
      <c r="J11" s="267" t="s">
        <v>496</v>
      </c>
    </row>
    <row r="12" spans="2:10" ht="12.75">
      <c r="B12" s="289"/>
      <c r="C12" s="321" t="s">
        <v>485</v>
      </c>
      <c r="D12" s="289"/>
      <c r="E12" s="289"/>
      <c r="F12" s="289"/>
      <c r="G12" s="151">
        <v>33.05</v>
      </c>
      <c r="H12" s="156" t="s">
        <v>414</v>
      </c>
      <c r="J12" s="22">
        <f>F9*G12</f>
        <v>564857.5499999999</v>
      </c>
    </row>
    <row r="13" spans="8:9" ht="12.75">
      <c r="H13" s="58"/>
      <c r="I13" s="8"/>
    </row>
    <row r="14" spans="3:10" ht="12.75">
      <c r="C14" s="31" t="s">
        <v>486</v>
      </c>
      <c r="H14" s="58"/>
      <c r="I14" s="245" t="s">
        <v>2</v>
      </c>
      <c r="J14" s="262" t="s">
        <v>314</v>
      </c>
    </row>
    <row r="15" spans="4:10" ht="12.75">
      <c r="D15" s="321" t="s">
        <v>487</v>
      </c>
      <c r="G15" s="93"/>
      <c r="H15" s="93"/>
      <c r="I15" s="8"/>
      <c r="J15" s="8"/>
    </row>
    <row r="16" spans="4:10" ht="12.75">
      <c r="D16" s="310"/>
      <c r="E16" s="310" t="s">
        <v>488</v>
      </c>
      <c r="G16" s="264">
        <f>IF(OR(INDEX(ykaks,MATCH(F8,kuntanimi,0),1,1)=1,INDEX(ykaks,MATCH(F8,kuntanimi,0),1,1)=3,INDEX(ysaamk,MATCH(F8,kuntanimi,0),1,1)=1),1,0)</f>
        <v>0</v>
      </c>
      <c r="H16" s="154" t="s">
        <v>494</v>
      </c>
      <c r="I16" s="24">
        <v>0.1</v>
      </c>
      <c r="J16" s="22">
        <f>IF(G16=1,$F$9*$G$12*I16,0)</f>
        <v>0</v>
      </c>
    </row>
    <row r="17" spans="4:9" ht="12.75">
      <c r="D17" s="14" t="s">
        <v>492</v>
      </c>
      <c r="E17" s="14"/>
      <c r="G17" s="93"/>
      <c r="H17" s="154"/>
      <c r="I17" s="24"/>
    </row>
    <row r="18" spans="5:10" ht="12.75">
      <c r="E18" s="266" t="s">
        <v>493</v>
      </c>
      <c r="G18" s="35">
        <f>INDEX(ytaaj,MATCH(F8,kuntanimi,0),1,1)</f>
        <v>14716</v>
      </c>
      <c r="H18" s="322" t="s">
        <v>495</v>
      </c>
      <c r="I18" s="153" t="s">
        <v>8</v>
      </c>
      <c r="J18" s="22">
        <f>IF(G18&lt;40000,0,IF(G18&lt;100000,G18*G12*0.75,IF(G18&lt;200000,G18*G12*0.7,IF(G18&gt;=200000,G18*G12*0.01,0))))</f>
        <v>0</v>
      </c>
    </row>
    <row r="19" spans="4:8" ht="12.75">
      <c r="D19" s="310" t="s">
        <v>489</v>
      </c>
      <c r="H19" s="155"/>
    </row>
    <row r="20" spans="5:8" ht="12.75">
      <c r="E20" s="310" t="s">
        <v>490</v>
      </c>
      <c r="F20" s="289"/>
      <c r="G20" s="289"/>
      <c r="H20" s="155"/>
    </row>
    <row r="21" spans="5:10" ht="12.75">
      <c r="E21" s="310" t="s">
        <v>497</v>
      </c>
      <c r="F21" s="289"/>
      <c r="G21" s="289"/>
      <c r="H21" s="154" t="s">
        <v>494</v>
      </c>
      <c r="I21" s="244">
        <v>7</v>
      </c>
      <c r="J21" s="22">
        <f>IF(J30&gt;F9*G12*I21,0,IF(G21=1,$F$9*$G$12*I21,0))</f>
        <v>0</v>
      </c>
    </row>
    <row r="22" spans="5:10" ht="12.75">
      <c r="E22" s="310" t="s">
        <v>498</v>
      </c>
      <c r="F22" s="289"/>
      <c r="G22" s="289"/>
      <c r="H22" s="154" t="s">
        <v>494</v>
      </c>
      <c r="I22" s="244">
        <v>4</v>
      </c>
      <c r="J22" s="22">
        <f>IF(G21+G27+G28&gt;0,0,IF(G22=1,$F$9*$G$12*I22,0))</f>
        <v>0</v>
      </c>
    </row>
    <row r="23" spans="5:8" ht="12.75">
      <c r="E23" s="315" t="s">
        <v>491</v>
      </c>
      <c r="G23" s="58"/>
      <c r="H23" s="155"/>
    </row>
    <row r="24" spans="5:9" ht="12.75">
      <c r="E24" s="14" t="s">
        <v>499</v>
      </c>
      <c r="G24" s="38"/>
      <c r="H24" s="155"/>
      <c r="I24" s="94"/>
    </row>
    <row r="25" spans="5:10" ht="12.75">
      <c r="E25" s="14" t="s">
        <v>500</v>
      </c>
      <c r="G25" s="160">
        <f>IF((INDEX(ysaar,MATCH(F8,kuntanimi,0),1,1)=1),INDEX(ysaarvae,MATCH(F8,kuntanimi,0),1,1),0)</f>
        <v>0</v>
      </c>
      <c r="H25" s="322" t="s">
        <v>495</v>
      </c>
      <c r="I25" s="94" t="s">
        <v>6</v>
      </c>
      <c r="J25" s="22">
        <f>IF($G$21+$G$22&gt;0,0,IF(G25&gt;=1100,$F$9*$G$12,$G$12*G25*1.5))</f>
        <v>0</v>
      </c>
    </row>
    <row r="26" spans="4:8" ht="12.75">
      <c r="D26" s="9" t="s">
        <v>5</v>
      </c>
      <c r="H26" s="156"/>
    </row>
    <row r="27" spans="5:10" ht="12.75">
      <c r="E27" s="14" t="s">
        <v>501</v>
      </c>
      <c r="G27" s="152">
        <f>IF(INDEX(ysyrj,MATCH(F8,kuntanimi,0),1,1)&gt;=1.5,1,0)</f>
        <v>0</v>
      </c>
      <c r="H27" s="154" t="s">
        <v>494</v>
      </c>
      <c r="I27" s="244">
        <v>6</v>
      </c>
      <c r="J27" s="22">
        <f>IF(G21+G30&gt;0,0,IF(G27=1,$F$9*$G$12*I27,0))</f>
        <v>0</v>
      </c>
    </row>
    <row r="28" spans="5:10" ht="12.75">
      <c r="E28" s="14" t="s">
        <v>374</v>
      </c>
      <c r="G28" s="152">
        <f>IF(INDEX(ysyrj,MATCH(F8,kuntanimi,0),1,1)&gt;=1,IF(INDEX(ysyrj,MATCH(F8,kuntanimi,0),1,1)&gt;=1.5,0,1),0)</f>
        <v>0</v>
      </c>
      <c r="H28" s="154" t="s">
        <v>494</v>
      </c>
      <c r="I28" s="244">
        <v>5</v>
      </c>
      <c r="J28" s="22">
        <f>IF(G21+G27+G30&gt;0,0,IF(G28=1,$F$9*$G$12*I28,0))</f>
        <v>0</v>
      </c>
    </row>
    <row r="29" spans="5:10" ht="12.75">
      <c r="E29" s="14" t="s">
        <v>375</v>
      </c>
      <c r="G29" s="152">
        <f>IF(INDEX(ysyrj,MATCH(F8,kuntanimi,0),1,1)&gt;=0.5,IF(INDEX(ysyrj,MATCH(F8,kuntanimi,0),1,1)&gt;=1,0,1),0)</f>
        <v>0</v>
      </c>
      <c r="H29" s="154" t="s">
        <v>494</v>
      </c>
      <c r="I29" s="244">
        <v>3</v>
      </c>
      <c r="J29" s="22">
        <f>IF(G21+G22+G27+G28+G30&gt;0,0,IF(G29=1,$F$9*$G$12*I29,0))</f>
        <v>0</v>
      </c>
    </row>
    <row r="30" spans="4:10" ht="12.75">
      <c r="D30" s="310" t="s">
        <v>502</v>
      </c>
      <c r="G30" s="152">
        <f>IF(INDEX(yast,MATCH(F8,kuntanimi,0),1,1)&lt;=0.5,1,0)</f>
        <v>0</v>
      </c>
      <c r="H30" s="154" t="s">
        <v>494</v>
      </c>
      <c r="I30" s="244">
        <v>9</v>
      </c>
      <c r="J30" s="22">
        <f>IF(G30=1,$F$9*$G$12*I30,0)</f>
        <v>0</v>
      </c>
    </row>
    <row r="31" spans="4:8" ht="12.75">
      <c r="D31" s="310" t="s">
        <v>503</v>
      </c>
      <c r="H31" s="154"/>
    </row>
    <row r="32" spans="5:10" ht="12.75">
      <c r="E32" s="265" t="s">
        <v>504</v>
      </c>
      <c r="G32" s="152">
        <f>IF(ABS(INDEX(yasmm,MATCH(F8,kuntanimi,0),1,1))&gt;=0.06,1,0)</f>
        <v>0</v>
      </c>
      <c r="H32" s="154" t="s">
        <v>494</v>
      </c>
      <c r="I32" s="30">
        <v>1.39</v>
      </c>
      <c r="J32" s="22">
        <f>IF(G32=1,$F$9*$G$12*I32,0)</f>
        <v>0</v>
      </c>
    </row>
    <row r="33" ht="12.75"/>
    <row r="34" spans="2:10" ht="12.75">
      <c r="B34" s="335" t="s">
        <v>505</v>
      </c>
      <c r="C34" s="177"/>
      <c r="D34" s="177"/>
      <c r="E34" s="121"/>
      <c r="F34" s="121"/>
      <c r="G34" s="177"/>
      <c r="H34" s="177"/>
      <c r="I34" s="256"/>
      <c r="J34" s="131">
        <f>SUM(J12:J33)</f>
        <v>564857.5499999999</v>
      </c>
    </row>
    <row r="35" ht="12.75">
      <c r="J35" s="182" t="s">
        <v>452</v>
      </c>
    </row>
    <row r="36" ht="12.75"/>
    <row r="37" spans="2:7" ht="12.75">
      <c r="B37" s="290" t="s">
        <v>506</v>
      </c>
      <c r="C37" s="289"/>
      <c r="D37" s="289"/>
      <c r="E37" s="289"/>
      <c r="F37" s="289"/>
      <c r="G37" s="289"/>
    </row>
    <row r="38" spans="2:7" ht="12.75">
      <c r="B38" s="290" t="s">
        <v>507</v>
      </c>
      <c r="C38" s="289"/>
      <c r="D38" s="289"/>
      <c r="E38" s="289"/>
      <c r="F38" s="289"/>
      <c r="G38" s="289"/>
    </row>
    <row r="39" spans="7:10" ht="12.75">
      <c r="G39" s="10"/>
      <c r="H39" s="11"/>
      <c r="I39" s="91"/>
      <c r="J39" s="90"/>
    </row>
    <row r="40" spans="3:10" ht="12.75">
      <c r="C40" s="309" t="s">
        <v>508</v>
      </c>
      <c r="D40" s="289"/>
      <c r="E40" s="289"/>
      <c r="F40" s="289"/>
      <c r="G40" s="10"/>
      <c r="H40" s="11"/>
      <c r="I40" s="92"/>
      <c r="J40" s="90"/>
    </row>
    <row r="41" spans="3:10" ht="14.25">
      <c r="C41" s="289"/>
      <c r="D41" s="309" t="s">
        <v>509</v>
      </c>
      <c r="E41" s="289"/>
      <c r="F41" s="289"/>
      <c r="G41" s="36">
        <f>IF(INDEX(yast,MATCH(F8,kuntanimi,0),1,1)&lt;0.5,1,0)</f>
        <v>0</v>
      </c>
      <c r="H41" s="154" t="s">
        <v>494</v>
      </c>
      <c r="I41" s="244">
        <v>12</v>
      </c>
      <c r="J41" s="22">
        <f>IF(G41=1,$F$9*$G$12*I41,0)</f>
        <v>0</v>
      </c>
    </row>
    <row r="42" spans="3:10" ht="14.25">
      <c r="C42" s="289"/>
      <c r="D42" s="309" t="s">
        <v>510</v>
      </c>
      <c r="E42" s="289"/>
      <c r="F42" s="289"/>
      <c r="G42" s="36">
        <f>IF(INDEX(yast,MATCH(F8,kuntanimi,0),1,1)&gt;=0.5,IF(INDEX(yast,MATCH(F8,kuntanimi,0),1,1)&gt;1.5,0,1),0)</f>
        <v>0</v>
      </c>
      <c r="H42" s="154" t="s">
        <v>494</v>
      </c>
      <c r="I42" s="244">
        <v>10</v>
      </c>
      <c r="J42" s="22">
        <f>IF(G42=1,$F$9*$G$12*I42,0)</f>
        <v>0</v>
      </c>
    </row>
    <row r="43" spans="3:10" ht="14.25">
      <c r="C43" s="289"/>
      <c r="D43" s="309" t="s">
        <v>511</v>
      </c>
      <c r="E43" s="289"/>
      <c r="F43" s="289"/>
      <c r="G43" s="36">
        <f>IF(INDEX(yast,MATCH(F8,kuntanimi,0),1,1)&gt;=1.5,IF(INDEX(yast,MATCH(F8,kuntanimi,0),1,1)&gt;2,0,1),0)</f>
        <v>0</v>
      </c>
      <c r="H43" s="154" t="s">
        <v>494</v>
      </c>
      <c r="I43" s="244">
        <v>7</v>
      </c>
      <c r="J43" s="22">
        <f>IF(G43=1,$F$9*$G$12*I43,0)</f>
        <v>0</v>
      </c>
    </row>
    <row r="44" spans="8:9" ht="12.75">
      <c r="H44" s="154"/>
      <c r="I44" s="244"/>
    </row>
    <row r="45" spans="3:9" ht="12.75">
      <c r="C45" s="309" t="s">
        <v>489</v>
      </c>
      <c r="H45" s="154"/>
      <c r="I45" s="244"/>
    </row>
    <row r="46" spans="4:10" ht="12.75">
      <c r="D46" s="309" t="s">
        <v>512</v>
      </c>
      <c r="E46" s="289"/>
      <c r="F46" s="289"/>
      <c r="G46" s="36">
        <f>G21</f>
        <v>0</v>
      </c>
      <c r="H46" s="154" t="s">
        <v>494</v>
      </c>
      <c r="I46" s="244">
        <v>5</v>
      </c>
      <c r="J46" s="22">
        <f>IF(G46=1,$F$9*$G$12*I46,0)</f>
        <v>0</v>
      </c>
    </row>
    <row r="47" spans="4:10" ht="12.75">
      <c r="D47" s="309" t="s">
        <v>513</v>
      </c>
      <c r="E47" s="289"/>
      <c r="F47" s="289"/>
      <c r="G47" s="36">
        <f>G22</f>
        <v>0</v>
      </c>
      <c r="H47" s="154" t="s">
        <v>494</v>
      </c>
      <c r="I47" s="244">
        <v>4</v>
      </c>
      <c r="J47" s="22">
        <f>IF(G47=1,$F$9*$G$12*I47,0)</f>
        <v>0</v>
      </c>
    </row>
    <row r="48" ht="12.75">
      <c r="H48" s="154"/>
    </row>
    <row r="49" spans="3:8" ht="12.75">
      <c r="C49" s="309" t="s">
        <v>514</v>
      </c>
      <c r="H49" s="154"/>
    </row>
    <row r="50" spans="4:10" ht="12.75">
      <c r="D50" s="33" t="s">
        <v>515</v>
      </c>
      <c r="G50" s="36">
        <f>IF(INDEX(ysaamo,MATCH(F8,kuntanimi,0),1,1)&gt;=0.3,1,0)</f>
        <v>0</v>
      </c>
      <c r="H50" s="154" t="s">
        <v>494</v>
      </c>
      <c r="I50" s="243">
        <v>2.3</v>
      </c>
      <c r="J50" s="22">
        <f>IF(G50=1,SUM($J$41:$J$47)*I50,0)</f>
        <v>0</v>
      </c>
    </row>
    <row r="51" spans="4:10" ht="12.75">
      <c r="D51" s="8" t="s">
        <v>376</v>
      </c>
      <c r="G51" s="36">
        <f>IF(INDEX(ysaamo,MATCH(F8,kuntanimi,0),1,1)&gt;=0.07,IF(INDEX(ysaamo,MATCH(F8,kuntanimi,0),1,1)&gt;0.3,0,1),0)</f>
        <v>0</v>
      </c>
      <c r="H51" s="154" t="s">
        <v>494</v>
      </c>
      <c r="I51" s="243">
        <v>1.2</v>
      </c>
      <c r="J51" s="22">
        <f>IF(G51=1,SUM($J$41:$J$47)*I51,0)</f>
        <v>0</v>
      </c>
    </row>
    <row r="52" spans="4:10" ht="12.75">
      <c r="D52" s="8" t="s">
        <v>377</v>
      </c>
      <c r="G52" s="36">
        <f>IF(INDEX(ysaamo,MATCH(F8,kuntanimi,0),1,1)&gt;=0.03,IF(INDEX(ysaamo,MATCH(F8,kuntanimi,0),1,1)&gt;0.07,0,1),0)</f>
        <v>0</v>
      </c>
      <c r="H52" s="154" t="s">
        <v>494</v>
      </c>
      <c r="I52" s="243">
        <v>0.3</v>
      </c>
      <c r="J52" s="22">
        <f>IF(G52=1,SUM($J$41:$J$47)*I52,0)</f>
        <v>0</v>
      </c>
    </row>
    <row r="53" spans="4:10" ht="12.75">
      <c r="D53" s="8" t="s">
        <v>378</v>
      </c>
      <c r="G53" s="36">
        <f>IF(INDEX(ysaamo,MATCH(F8,kuntanimi,0),1,1)&gt;=0.005,IF(INDEX(ysaamo,MATCH(F8,kuntanimi,0),1,1)&gt;0.03,0,1),0)</f>
        <v>0</v>
      </c>
      <c r="H53" s="154" t="s">
        <v>494</v>
      </c>
      <c r="I53" s="243">
        <v>0.2</v>
      </c>
      <c r="J53" s="22">
        <f>IF(G53=1,SUM($J$41:$J$47)*I53,0)</f>
        <v>0</v>
      </c>
    </row>
    <row r="54" ht="12.75"/>
    <row r="55" spans="2:10" ht="12.75">
      <c r="B55" s="246" t="s">
        <v>644</v>
      </c>
      <c r="C55" s="247"/>
      <c r="D55" s="247"/>
      <c r="E55" s="247"/>
      <c r="F55" s="248"/>
      <c r="G55" s="247"/>
      <c r="H55" s="247"/>
      <c r="I55" s="249"/>
      <c r="J55" s="250"/>
    </row>
    <row r="56" spans="2:10" ht="12.75">
      <c r="B56" s="251" t="s">
        <v>645</v>
      </c>
      <c r="C56" s="252"/>
      <c r="D56" s="252"/>
      <c r="E56" s="252"/>
      <c r="F56" s="253"/>
      <c r="G56" s="252"/>
      <c r="H56" s="252"/>
      <c r="I56" s="254"/>
      <c r="J56" s="255">
        <f>SUM(J41:J53)</f>
        <v>0</v>
      </c>
    </row>
    <row r="57" ht="12.75">
      <c r="J57" s="182" t="s">
        <v>452</v>
      </c>
    </row>
    <row r="58" ht="12.75"/>
    <row r="59" ht="12.75"/>
    <row r="60" ht="12.75"/>
  </sheetData>
  <sheetProtection/>
  <protectedRanges>
    <protectedRange sqref="G41:G53" name="Alue2"/>
    <protectedRange sqref="G12:G32" name="Alue1"/>
  </protectedRanges>
  <mergeCells count="1">
    <mergeCell ref="A3:J3"/>
  </mergeCells>
  <printOptions/>
  <pageMargins left="0.75" right="0.75" top="1" bottom="1" header="0.4921259845" footer="0.4921259845"/>
  <pageSetup fitToHeight="1" fitToWidth="1" horizontalDpi="600" verticalDpi="600" orientation="portrait" paperSize="9" scale="93" r:id="rId3"/>
  <legacyDrawing r:id="rId2"/>
</worksheet>
</file>

<file path=xl/worksheets/sheet6.xml><?xml version="1.0" encoding="utf-8"?>
<worksheet xmlns="http://schemas.openxmlformats.org/spreadsheetml/2006/main" xmlns:r="http://schemas.openxmlformats.org/officeDocument/2006/relationships">
  <sheetPr>
    <tabColor theme="6" tint="0.39998000860214233"/>
  </sheetPr>
  <dimension ref="A1:V57"/>
  <sheetViews>
    <sheetView zoomScalePageLayoutView="0" workbookViewId="0" topLeftCell="A1">
      <selection activeCell="A1" sqref="A1"/>
    </sheetView>
  </sheetViews>
  <sheetFormatPr defaultColWidth="9.140625" defaultRowHeight="12.75"/>
  <cols>
    <col min="1" max="4" width="2.57421875" style="0" customWidth="1"/>
    <col min="5" max="5" width="14.421875" style="0" customWidth="1"/>
    <col min="6" max="6" width="24.140625" style="0" customWidth="1"/>
    <col min="7" max="7" width="10.7109375" style="0" customWidth="1"/>
    <col min="8" max="8" width="11.28125" style="0" customWidth="1"/>
    <col min="9" max="9" width="12.140625" style="0" customWidth="1"/>
    <col min="10" max="10" width="9.57421875" style="0" bestFit="1" customWidth="1"/>
    <col min="12" max="12" width="9.57421875" style="0" bestFit="1" customWidth="1"/>
    <col min="14" max="14" width="9.28125" style="0" bestFit="1" customWidth="1"/>
    <col min="15" max="17" width="10.00390625" style="0" bestFit="1" customWidth="1"/>
    <col min="18" max="19" width="9.28125" style="0" bestFit="1" customWidth="1"/>
    <col min="20" max="20" width="10.00390625" style="0" bestFit="1" customWidth="1"/>
    <col min="22" max="22" width="10.00390625" style="0" bestFit="1" customWidth="1"/>
  </cols>
  <sheetData>
    <row r="1" spans="1:9" ht="15.75">
      <c r="A1" s="106" t="str">
        <f>'2. Sammandrag'!A1</f>
        <v>17.9.2012, Kommunförbundet / SL</v>
      </c>
      <c r="F1" s="55"/>
      <c r="G1" s="55"/>
      <c r="H1" s="95"/>
      <c r="I1" s="85"/>
    </row>
    <row r="2" spans="6:9" ht="12.75">
      <c r="F2" s="81"/>
      <c r="G2" s="81"/>
      <c r="H2" s="95"/>
      <c r="I2" s="85"/>
    </row>
    <row r="3" spans="1:9" ht="18">
      <c r="A3" s="336" t="s">
        <v>516</v>
      </c>
      <c r="B3" s="337"/>
      <c r="C3" s="337"/>
      <c r="D3" s="337"/>
      <c r="E3" s="337"/>
      <c r="F3" s="337"/>
      <c r="G3" s="337"/>
      <c r="H3" s="337"/>
      <c r="I3" s="338"/>
    </row>
    <row r="4" spans="8:9" ht="12.75">
      <c r="H4" s="95"/>
      <c r="I4" s="85"/>
    </row>
    <row r="5" spans="2:9" ht="12.75">
      <c r="B5" s="307" t="s">
        <v>418</v>
      </c>
      <c r="C5" s="291"/>
      <c r="D5" s="291"/>
      <c r="E5" s="306"/>
      <c r="F5" s="288" t="s">
        <v>419</v>
      </c>
      <c r="G5" s="289"/>
      <c r="H5" s="323"/>
      <c r="I5" s="85"/>
    </row>
    <row r="6" spans="2:9" ht="12.75">
      <c r="B6" s="291"/>
      <c r="C6" s="291"/>
      <c r="D6" s="291"/>
      <c r="E6" s="324"/>
      <c r="F6" s="288" t="s">
        <v>420</v>
      </c>
      <c r="G6" s="289"/>
      <c r="H6" s="323"/>
      <c r="I6" s="85"/>
    </row>
    <row r="7" spans="8:9" ht="12.75">
      <c r="H7" s="95"/>
      <c r="I7" s="85"/>
    </row>
    <row r="8" spans="2:9" ht="12.75">
      <c r="B8" s="311" t="s">
        <v>388</v>
      </c>
      <c r="F8" s="268" t="str">
        <f>'2. Sammandrag'!G12</f>
        <v>Akaa</v>
      </c>
      <c r="I8" s="85"/>
    </row>
    <row r="9" spans="2:9" ht="12.75">
      <c r="B9" s="110" t="s">
        <v>389</v>
      </c>
      <c r="F9" s="269">
        <f>'2. Sammandrag'!H13</f>
        <v>17091</v>
      </c>
      <c r="I9" s="85"/>
    </row>
    <row r="10" spans="8:9" ht="12.75">
      <c r="H10" s="95"/>
      <c r="I10" s="85"/>
    </row>
    <row r="11" spans="2:9" ht="12.75">
      <c r="B11" s="325" t="s">
        <v>517</v>
      </c>
      <c r="H11" s="161" t="s">
        <v>0</v>
      </c>
      <c r="I11" s="162" t="s">
        <v>314</v>
      </c>
    </row>
    <row r="12" spans="8:9" ht="12.75">
      <c r="H12" s="95"/>
      <c r="I12" s="85"/>
    </row>
    <row r="13" spans="3:9" ht="12.75">
      <c r="C13" s="5" t="s">
        <v>518</v>
      </c>
      <c r="H13" s="157">
        <v>1.68</v>
      </c>
      <c r="I13" s="85">
        <f>$F$9*-H13</f>
        <v>-28712.879999999997</v>
      </c>
    </row>
    <row r="14" spans="8:9" ht="12.75">
      <c r="H14" s="96"/>
      <c r="I14" s="85"/>
    </row>
    <row r="15" spans="3:9" ht="12.75">
      <c r="C15" s="312" t="s">
        <v>519</v>
      </c>
      <c r="D15" s="289"/>
      <c r="E15" s="289"/>
      <c r="H15" s="96"/>
      <c r="I15" s="85"/>
    </row>
    <row r="16" spans="3:9" ht="12.75">
      <c r="C16" s="312" t="s">
        <v>520</v>
      </c>
      <c r="D16" s="289"/>
      <c r="E16" s="289"/>
      <c r="H16" s="157">
        <v>0.93</v>
      </c>
      <c r="I16" s="85">
        <f>$F$9*-H16</f>
        <v>-15894.630000000001</v>
      </c>
    </row>
    <row r="17" spans="8:9" ht="12.75">
      <c r="H17" s="96"/>
      <c r="I17" s="85"/>
    </row>
    <row r="18" spans="3:9" ht="12.75">
      <c r="C18" s="312" t="s">
        <v>521</v>
      </c>
      <c r="H18" s="96"/>
      <c r="I18" s="85"/>
    </row>
    <row r="19" spans="4:9" ht="12.75">
      <c r="D19" s="5" t="s">
        <v>522</v>
      </c>
      <c r="H19" s="157">
        <v>6.52</v>
      </c>
      <c r="I19" s="85">
        <f>$F$9*-H19</f>
        <v>-111433.31999999999</v>
      </c>
    </row>
    <row r="20" spans="8:9" ht="12.75">
      <c r="H20" s="95"/>
      <c r="I20" s="85"/>
    </row>
    <row r="21" spans="2:9" ht="12.75">
      <c r="B21" s="117" t="s">
        <v>7</v>
      </c>
      <c r="C21" s="118"/>
      <c r="D21" s="118"/>
      <c r="E21" s="118"/>
      <c r="F21" s="118"/>
      <c r="G21" s="118"/>
      <c r="H21" s="158"/>
      <c r="I21" s="119">
        <f>SUM(I13:I19)</f>
        <v>-156040.83</v>
      </c>
    </row>
    <row r="22" spans="8:9" ht="12.75">
      <c r="H22" s="95"/>
      <c r="I22" s="85"/>
    </row>
    <row r="23" spans="2:9" ht="12.75">
      <c r="B23" s="287" t="s">
        <v>523</v>
      </c>
      <c r="H23" s="161" t="s">
        <v>0</v>
      </c>
      <c r="I23" s="162" t="s">
        <v>314</v>
      </c>
    </row>
    <row r="24" spans="2:9" ht="12.75">
      <c r="B24" s="1"/>
      <c r="H24" s="95"/>
      <c r="I24" s="85"/>
    </row>
    <row r="25" spans="3:9" ht="12.75">
      <c r="C25" s="5" t="s">
        <v>524</v>
      </c>
      <c r="H25" s="95"/>
      <c r="I25" s="35"/>
    </row>
    <row r="26" spans="8:9" ht="12.75">
      <c r="H26" s="95"/>
      <c r="I26" s="85"/>
    </row>
    <row r="27" spans="3:9" ht="12.75">
      <c r="C27" s="5" t="s">
        <v>525</v>
      </c>
      <c r="H27" s="95"/>
      <c r="I27" s="35"/>
    </row>
    <row r="28" spans="8:9" ht="12.75">
      <c r="H28" s="95"/>
      <c r="I28" s="85"/>
    </row>
    <row r="29" spans="3:9" ht="12.75">
      <c r="C29" s="5" t="s">
        <v>526</v>
      </c>
      <c r="H29" s="95"/>
      <c r="I29" s="35"/>
    </row>
    <row r="30" spans="8:9" ht="12.75">
      <c r="H30" s="95"/>
      <c r="I30" s="85"/>
    </row>
    <row r="31" spans="3:9" ht="12.75">
      <c r="C31" s="5" t="s">
        <v>527</v>
      </c>
      <c r="H31" s="95"/>
      <c r="I31" s="160"/>
    </row>
    <row r="32" spans="8:9" ht="12.75">
      <c r="H32" s="95"/>
      <c r="I32" s="85"/>
    </row>
    <row r="33" spans="3:9" ht="12.75">
      <c r="C33" s="5" t="s">
        <v>528</v>
      </c>
      <c r="H33" s="95"/>
      <c r="I33" s="160"/>
    </row>
    <row r="34" spans="8:9" ht="12.75">
      <c r="H34" s="95"/>
      <c r="I34" s="85"/>
    </row>
    <row r="35" spans="4:9" ht="12.75">
      <c r="D35" s="87" t="s">
        <v>530</v>
      </c>
      <c r="H35" s="95"/>
      <c r="I35" s="89">
        <f>INDEX(kompyht,MATCH(F8,kuntanimi,0),1,1)</f>
        <v>2811776.3263217085</v>
      </c>
    </row>
    <row r="36" spans="8:9" ht="12.75">
      <c r="H36" s="95"/>
      <c r="I36" s="85"/>
    </row>
    <row r="37" spans="3:9" ht="12.75">
      <c r="C37" s="289" t="s">
        <v>409</v>
      </c>
      <c r="D37" s="289"/>
      <c r="E37" s="289"/>
      <c r="F37" s="289"/>
      <c r="H37" s="157">
        <v>1.86</v>
      </c>
      <c r="I37" s="85">
        <f>$F$9*H37</f>
        <v>31789.260000000002</v>
      </c>
    </row>
    <row r="38" spans="3:9" ht="12.75">
      <c r="C38" s="289"/>
      <c r="D38" s="289"/>
      <c r="E38" s="289"/>
      <c r="F38" s="289"/>
      <c r="H38" s="96"/>
      <c r="I38" s="85"/>
    </row>
    <row r="39" spans="3:9" ht="12.75">
      <c r="C39" s="289" t="s">
        <v>529</v>
      </c>
      <c r="D39" s="289"/>
      <c r="E39" s="289"/>
      <c r="F39" s="289"/>
      <c r="H39" s="157">
        <v>8.88</v>
      </c>
      <c r="I39" s="85">
        <f>$F$9*H39</f>
        <v>151768.08000000002</v>
      </c>
    </row>
    <row r="40" spans="8:9" ht="12.75">
      <c r="H40" s="95"/>
      <c r="I40" s="85"/>
    </row>
    <row r="41" spans="2:9" ht="12.75">
      <c r="B41" s="326" t="s">
        <v>531</v>
      </c>
      <c r="C41" s="118"/>
      <c r="D41" s="118"/>
      <c r="E41" s="118"/>
      <c r="F41" s="118"/>
      <c r="G41" s="118"/>
      <c r="H41" s="158"/>
      <c r="I41" s="119">
        <f>IF(OR(I25=0,I27=0,I29=0,I31=0,I33=0),SUM(I35:I39),SUM(I25:I33)+I37+I39)</f>
        <v>2995333.6663217084</v>
      </c>
    </row>
    <row r="42" spans="8:9" ht="12.75">
      <c r="H42" s="95"/>
      <c r="I42" s="85"/>
    </row>
    <row r="43" spans="1:9" ht="12.75">
      <c r="A43" s="327" t="s">
        <v>532</v>
      </c>
      <c r="B43" s="108"/>
      <c r="C43" s="108"/>
      <c r="D43" s="108"/>
      <c r="E43" s="108"/>
      <c r="F43" s="108"/>
      <c r="G43" s="108"/>
      <c r="H43" s="159"/>
      <c r="I43" s="109">
        <f>I21+I41</f>
        <v>2839292.8363217083</v>
      </c>
    </row>
    <row r="44" ht="12.75">
      <c r="I44" s="182" t="s">
        <v>452</v>
      </c>
    </row>
    <row r="57" spans="5:22" ht="12.75">
      <c r="E57" s="274"/>
      <c r="F57" s="274"/>
      <c r="G57" s="274"/>
      <c r="H57" s="274"/>
      <c r="I57" s="274"/>
      <c r="J57" s="274"/>
      <c r="K57" s="274"/>
      <c r="L57" s="274"/>
      <c r="M57" s="274"/>
      <c r="N57" s="274"/>
      <c r="O57" s="274"/>
      <c r="P57" s="274"/>
      <c r="Q57" s="274"/>
      <c r="R57" s="274"/>
      <c r="S57" s="274"/>
      <c r="T57" s="274"/>
      <c r="U57" s="274"/>
      <c r="V57" s="274"/>
    </row>
  </sheetData>
  <sheetProtection/>
  <protectedRanges>
    <protectedRange sqref="H13:H19" name="Alue1"/>
    <protectedRange sqref="I25:I35" name="Alue2"/>
    <protectedRange sqref="H37:H39" name="Alue3"/>
  </protectedRanges>
  <mergeCells count="1">
    <mergeCell ref="A3:I3"/>
  </mergeCells>
  <printOptions/>
  <pageMargins left="0.75" right="0.75" top="1" bottom="1" header="0.4921259845" footer="0.492125984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6" tint="0.39998000860214233"/>
  </sheetPr>
  <dimension ref="A1:J27"/>
  <sheetViews>
    <sheetView zoomScalePageLayoutView="0" workbookViewId="0" topLeftCell="A1">
      <selection activeCell="A1" sqref="A1"/>
    </sheetView>
  </sheetViews>
  <sheetFormatPr defaultColWidth="9.140625" defaultRowHeight="12.75"/>
  <cols>
    <col min="1" max="2" width="2.00390625" style="0" customWidth="1"/>
    <col min="3" max="3" width="3.140625" style="0" customWidth="1"/>
    <col min="4" max="4" width="3.8515625" style="0" customWidth="1"/>
    <col min="5" max="5" width="13.57421875" style="0" customWidth="1"/>
    <col min="6" max="6" width="21.421875" style="0" customWidth="1"/>
    <col min="7" max="7" width="16.7109375" style="0" customWidth="1"/>
    <col min="8" max="8" width="8.421875" style="0" customWidth="1"/>
    <col min="9" max="9" width="6.140625" style="0" customWidth="1"/>
    <col min="10" max="10" width="13.7109375" style="0" bestFit="1" customWidth="1"/>
  </cols>
  <sheetData>
    <row r="1" spans="1:10" ht="12.75">
      <c r="A1" s="106" t="str">
        <f>'2. Sammandrag'!A1</f>
        <v>17.9.2012, Kommunförbundet / SL</v>
      </c>
      <c r="F1" s="122"/>
      <c r="G1" s="6"/>
      <c r="H1" s="6"/>
      <c r="I1" s="6"/>
      <c r="J1" s="6"/>
    </row>
    <row r="2" spans="6:10" ht="12.75">
      <c r="F2" s="122"/>
      <c r="G2" s="6"/>
      <c r="H2" s="6"/>
      <c r="I2" s="6"/>
      <c r="J2" s="6"/>
    </row>
    <row r="3" spans="1:10" ht="15.75">
      <c r="A3" s="353" t="s">
        <v>533</v>
      </c>
      <c r="B3" s="354"/>
      <c r="C3" s="354"/>
      <c r="D3" s="354"/>
      <c r="E3" s="354"/>
      <c r="F3" s="354"/>
      <c r="G3" s="354"/>
      <c r="H3" s="354"/>
      <c r="I3" s="354"/>
      <c r="J3" s="355"/>
    </row>
    <row r="4" spans="6:10" ht="12.75">
      <c r="F4" s="8"/>
      <c r="G4" s="8"/>
      <c r="H4" s="6"/>
      <c r="I4" s="6"/>
      <c r="J4" s="6"/>
    </row>
    <row r="5" spans="3:10" ht="12.75">
      <c r="C5" s="74" t="s">
        <v>418</v>
      </c>
      <c r="D5" s="33"/>
      <c r="E5" s="47"/>
      <c r="F5" s="75" t="s">
        <v>534</v>
      </c>
      <c r="I5" s="6"/>
      <c r="J5" s="6"/>
    </row>
    <row r="6" spans="6:10" ht="12.75">
      <c r="F6" s="8"/>
      <c r="G6" s="8"/>
      <c r="H6" s="6"/>
      <c r="I6" s="6"/>
      <c r="J6" s="6"/>
    </row>
    <row r="7" spans="2:10" ht="12.75">
      <c r="B7" s="110" t="s">
        <v>388</v>
      </c>
      <c r="E7" s="9"/>
      <c r="F7" s="208" t="str">
        <f>'2. Sammandrag'!G12</f>
        <v>Akaa</v>
      </c>
      <c r="H7" s="6"/>
      <c r="I7" s="6"/>
      <c r="J7" s="6"/>
    </row>
    <row r="8" spans="2:10" ht="12.75">
      <c r="B8" s="110" t="s">
        <v>389</v>
      </c>
      <c r="E8" s="8"/>
      <c r="F8" s="208">
        <f>'2. Sammandrag'!$H$13</f>
        <v>17091</v>
      </c>
      <c r="H8" s="6"/>
      <c r="I8" s="6"/>
      <c r="J8" s="6"/>
    </row>
    <row r="9" spans="2:10" ht="12.75">
      <c r="B9" s="110"/>
      <c r="E9" s="8"/>
      <c r="G9" s="8"/>
      <c r="H9" s="6"/>
      <c r="I9" s="6"/>
      <c r="J9" s="6"/>
    </row>
    <row r="10" spans="2:10" ht="12.75">
      <c r="B10" s="110"/>
      <c r="E10" s="8"/>
      <c r="G10" s="8"/>
      <c r="H10" s="6"/>
      <c r="I10" s="6"/>
      <c r="J10" s="6"/>
    </row>
    <row r="11" spans="2:10" ht="12.75">
      <c r="B11" s="110"/>
      <c r="E11" s="8"/>
      <c r="G11" s="8"/>
      <c r="H11" s="6"/>
      <c r="I11" s="6"/>
      <c r="J11" s="6"/>
    </row>
    <row r="12" spans="2:10" ht="12.75">
      <c r="B12" s="110"/>
      <c r="E12" s="8"/>
      <c r="G12" s="8"/>
      <c r="H12" s="6"/>
      <c r="I12" s="6"/>
      <c r="J12" s="6"/>
    </row>
    <row r="13" spans="2:10" ht="12.75">
      <c r="B13" s="110"/>
      <c r="E13" s="8"/>
      <c r="G13" s="8"/>
      <c r="H13" s="6"/>
      <c r="I13" s="6"/>
      <c r="J13" s="6"/>
    </row>
    <row r="14" spans="2:10" ht="12.75">
      <c r="B14" s="110"/>
      <c r="E14" s="8"/>
      <c r="G14" s="8"/>
      <c r="H14" s="6"/>
      <c r="I14" s="6"/>
      <c r="J14" s="6"/>
    </row>
    <row r="15" spans="2:10" ht="12.75">
      <c r="B15" s="110"/>
      <c r="E15" s="8"/>
      <c r="G15" s="8"/>
      <c r="H15" s="6"/>
      <c r="I15" s="6"/>
      <c r="J15" s="6"/>
    </row>
    <row r="16" spans="2:10" ht="12.75">
      <c r="B16" s="110"/>
      <c r="E16" s="8"/>
      <c r="G16" s="8"/>
      <c r="H16" s="6"/>
      <c r="I16" s="6"/>
      <c r="J16" s="6"/>
    </row>
    <row r="17" spans="2:10" ht="12.75">
      <c r="B17" s="110"/>
      <c r="E17" s="8"/>
      <c r="G17" s="8"/>
      <c r="H17" s="6"/>
      <c r="I17" s="6"/>
      <c r="J17" s="6"/>
    </row>
    <row r="18" spans="2:10" ht="12.75">
      <c r="B18" s="110"/>
      <c r="E18" s="8"/>
      <c r="G18" s="8"/>
      <c r="H18" s="6"/>
      <c r="I18" s="6"/>
      <c r="J18" s="6"/>
    </row>
    <row r="19" spans="2:10" ht="12.75">
      <c r="B19" s="110"/>
      <c r="E19" s="8"/>
      <c r="G19" s="8"/>
      <c r="H19" s="6"/>
      <c r="I19" s="6"/>
      <c r="J19" s="6"/>
    </row>
    <row r="20" spans="2:10" ht="12.75">
      <c r="B20" s="110"/>
      <c r="E20" s="8"/>
      <c r="G20" s="8"/>
      <c r="H20" s="6"/>
      <c r="I20" s="6"/>
      <c r="J20" s="6"/>
    </row>
    <row r="21" spans="2:10" ht="12.75">
      <c r="B21" s="110"/>
      <c r="E21" s="8"/>
      <c r="G21" s="8"/>
      <c r="H21" s="6"/>
      <c r="I21" s="6"/>
      <c r="J21" s="6"/>
    </row>
    <row r="22" spans="2:10" ht="12.75">
      <c r="B22" s="110"/>
      <c r="E22" s="8"/>
      <c r="G22" s="8"/>
      <c r="H22" s="6"/>
      <c r="I22" s="6"/>
      <c r="J22" s="6"/>
    </row>
    <row r="23" spans="2:10" ht="12.75">
      <c r="B23" s="33" t="str">
        <f>CONCATENATE("Systemförändringens utjämning, ",F7," (",F8," invånare 31.12.2011)")</f>
        <v>Systemförändringens utjämning, Akaa (17091 invånare 31.12.2011)</v>
      </c>
      <c r="H23" s="6"/>
      <c r="I23" s="6"/>
      <c r="J23" s="35">
        <f>INDEX(jarjmuut,MATCH(F7,kuntanimi,0),1,1)</f>
        <v>-115745.45612722076</v>
      </c>
    </row>
    <row r="24" spans="3:10" ht="12.75">
      <c r="C24" s="5"/>
      <c r="E24" s="8"/>
      <c r="I24" s="18"/>
      <c r="J24" s="6"/>
    </row>
    <row r="25" spans="7:10" ht="12.75">
      <c r="G25" s="31"/>
      <c r="H25" s="31"/>
      <c r="I25" s="31"/>
      <c r="J25" s="31"/>
    </row>
    <row r="26" spans="1:10" ht="12.75">
      <c r="A26" s="120" t="s">
        <v>535</v>
      </c>
      <c r="B26" s="108"/>
      <c r="C26" s="108"/>
      <c r="D26" s="108"/>
      <c r="E26" s="108"/>
      <c r="F26" s="108"/>
      <c r="G26" s="121"/>
      <c r="H26" s="121"/>
      <c r="I26" s="121"/>
      <c r="J26" s="131">
        <f>J23</f>
        <v>-115745.45612722076</v>
      </c>
    </row>
    <row r="27" spans="6:10" ht="12.75">
      <c r="F27" s="12"/>
      <c r="G27" s="31"/>
      <c r="H27" s="31"/>
      <c r="I27" s="31"/>
      <c r="J27" s="182" t="s">
        <v>452</v>
      </c>
    </row>
  </sheetData>
  <sheetProtection/>
  <protectedRanges>
    <protectedRange sqref="J23" name="Alue1"/>
  </protectedRanges>
  <mergeCells count="1">
    <mergeCell ref="A3:J3"/>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6" tint="0.39998000860214233"/>
  </sheetPr>
  <dimension ref="A1:P316"/>
  <sheetViews>
    <sheetView zoomScalePageLayoutView="0" workbookViewId="0" topLeftCell="A1">
      <selection activeCell="A1" sqref="A1"/>
    </sheetView>
  </sheetViews>
  <sheetFormatPr defaultColWidth="9.140625" defaultRowHeight="12.75"/>
  <cols>
    <col min="1" max="4" width="2.57421875" style="0" customWidth="1"/>
    <col min="5" max="5" width="12.421875" style="0" customWidth="1"/>
    <col min="6" max="6" width="7.421875" style="0" customWidth="1"/>
    <col min="7" max="7" width="10.57421875" style="0" customWidth="1"/>
    <col min="8" max="8" width="13.421875" style="0" customWidth="1"/>
    <col min="9" max="9" width="12.28125" style="0" customWidth="1"/>
    <col min="10" max="10" width="7.140625" style="0" customWidth="1"/>
    <col min="11" max="11" width="10.140625" style="0" customWidth="1"/>
    <col min="12" max="12" width="13.140625" style="0" customWidth="1"/>
    <col min="14" max="14" width="15.421875" style="0" customWidth="1"/>
    <col min="15" max="15" width="13.00390625" style="0" customWidth="1"/>
    <col min="16" max="16" width="9.140625" style="57" customWidth="1"/>
  </cols>
  <sheetData>
    <row r="1" ht="12.75">
      <c r="A1" s="106" t="s">
        <v>382</v>
      </c>
    </row>
    <row r="3" spans="1:12" ht="18">
      <c r="A3" s="336" t="s">
        <v>536</v>
      </c>
      <c r="B3" s="337"/>
      <c r="C3" s="337"/>
      <c r="D3" s="337"/>
      <c r="E3" s="337"/>
      <c r="F3" s="337"/>
      <c r="G3" s="337"/>
      <c r="H3" s="337"/>
      <c r="I3" s="337"/>
      <c r="J3" s="337"/>
      <c r="K3" s="337"/>
      <c r="L3" s="338"/>
    </row>
    <row r="5" spans="2:16" ht="18">
      <c r="B5" s="74" t="s">
        <v>385</v>
      </c>
      <c r="C5" s="33"/>
      <c r="D5" s="33"/>
      <c r="E5" s="47"/>
      <c r="F5" s="75" t="s">
        <v>419</v>
      </c>
      <c r="N5" s="174" t="s">
        <v>542</v>
      </c>
      <c r="O5" s="100"/>
      <c r="P5"/>
    </row>
    <row r="6" spans="2:16" ht="18">
      <c r="B6" s="33"/>
      <c r="C6" s="33"/>
      <c r="D6" s="33"/>
      <c r="E6" s="134"/>
      <c r="F6" s="75" t="s">
        <v>420</v>
      </c>
      <c r="N6" s="174" t="s">
        <v>543</v>
      </c>
      <c r="O6" s="100"/>
      <c r="P6"/>
    </row>
    <row r="7" spans="14:15" ht="14.25">
      <c r="N7" s="101" t="s">
        <v>544</v>
      </c>
      <c r="O7" s="101"/>
    </row>
    <row r="8" spans="1:15" ht="14.25">
      <c r="A8" s="110" t="s">
        <v>421</v>
      </c>
      <c r="G8" s="268" t="str">
        <f>'2. Sammandrag'!G12</f>
        <v>Akaa</v>
      </c>
      <c r="N8" s="102"/>
      <c r="O8" s="102"/>
    </row>
    <row r="9" spans="1:16" ht="12.75">
      <c r="A9" s="110" t="s">
        <v>389</v>
      </c>
      <c r="G9" s="269">
        <f>'2. Sammandrag'!H13</f>
        <v>17091</v>
      </c>
      <c r="N9" s="171" t="s">
        <v>421</v>
      </c>
      <c r="O9" s="328" t="s">
        <v>545</v>
      </c>
      <c r="P9" s="275"/>
    </row>
    <row r="10" spans="5:16" ht="12.75">
      <c r="E10" s="1"/>
      <c r="N10" s="172"/>
      <c r="O10" s="329" t="s">
        <v>546</v>
      </c>
      <c r="P10" s="276" t="s">
        <v>548</v>
      </c>
    </row>
    <row r="11" spans="2:16" ht="12.75">
      <c r="B11" s="1" t="s">
        <v>537</v>
      </c>
      <c r="N11" s="173"/>
      <c r="O11" s="329" t="s">
        <v>547</v>
      </c>
      <c r="P11" s="276" t="s">
        <v>549</v>
      </c>
    </row>
    <row r="12" spans="6:16" ht="12.75">
      <c r="F12" s="3" t="s">
        <v>446</v>
      </c>
      <c r="G12" s="3" t="s">
        <v>538</v>
      </c>
      <c r="H12" s="3" t="s">
        <v>3</v>
      </c>
      <c r="N12" s="166" t="s">
        <v>10</v>
      </c>
      <c r="O12" s="167">
        <v>5865.74</v>
      </c>
      <c r="P12" s="276">
        <v>20</v>
      </c>
    </row>
    <row r="13" spans="5:16" ht="12.75">
      <c r="E13" s="56" t="s">
        <v>457</v>
      </c>
      <c r="F13" s="36"/>
      <c r="G13" s="59">
        <f>G14*0.91</f>
        <v>5337.8234</v>
      </c>
      <c r="H13" s="51">
        <f>F13*G13</f>
        <v>0</v>
      </c>
      <c r="N13" s="168" t="s">
        <v>11</v>
      </c>
      <c r="O13" s="169">
        <v>6781.48</v>
      </c>
      <c r="P13" s="277">
        <v>5</v>
      </c>
    </row>
    <row r="14" spans="5:16" ht="12.75">
      <c r="E14" s="56" t="s">
        <v>458</v>
      </c>
      <c r="F14" s="36"/>
      <c r="G14" s="59">
        <f>INDEX(kkkpo,MATCH(G8,kuntanimi,0),1,1)</f>
        <v>5865.74</v>
      </c>
      <c r="H14" s="51">
        <f>F14*G14</f>
        <v>0</v>
      </c>
      <c r="N14" s="168" t="s">
        <v>12</v>
      </c>
      <c r="O14" s="169">
        <v>6736.81</v>
      </c>
      <c r="P14" s="277">
        <v>9</v>
      </c>
    </row>
    <row r="15" spans="5:16" ht="13.5" thickBot="1">
      <c r="E15" t="s">
        <v>459</v>
      </c>
      <c r="F15" s="36"/>
      <c r="G15" s="59">
        <f>G14*1.35</f>
        <v>7918.749</v>
      </c>
      <c r="H15" s="175">
        <f>F15*G15</f>
        <v>0</v>
      </c>
      <c r="N15" s="168" t="s">
        <v>13</v>
      </c>
      <c r="O15" s="169">
        <v>6706.39</v>
      </c>
      <c r="P15" s="277">
        <v>10</v>
      </c>
    </row>
    <row r="16" spans="1:16" ht="13.5" thickTop="1">
      <c r="A16" s="63"/>
      <c r="B16" s="163" t="s">
        <v>539</v>
      </c>
      <c r="C16" s="63"/>
      <c r="D16" s="63"/>
      <c r="E16" s="163"/>
      <c r="F16" s="163"/>
      <c r="G16" s="164"/>
      <c r="H16" s="164">
        <f>SUM(H13:H15)</f>
        <v>0</v>
      </c>
      <c r="I16" s="165"/>
      <c r="N16" s="168" t="s">
        <v>14</v>
      </c>
      <c r="O16" s="169">
        <v>6520.08</v>
      </c>
      <c r="P16" s="277">
        <v>16</v>
      </c>
    </row>
    <row r="17" spans="1:16" ht="12.75">
      <c r="A17" s="63"/>
      <c r="B17" s="163"/>
      <c r="C17" s="63"/>
      <c r="D17" s="63"/>
      <c r="E17" s="163"/>
      <c r="F17" s="163"/>
      <c r="G17" s="164"/>
      <c r="H17" s="182" t="s">
        <v>452</v>
      </c>
      <c r="I17" s="165"/>
      <c r="N17" s="168" t="s">
        <v>15</v>
      </c>
      <c r="O17" s="169">
        <v>6249.84</v>
      </c>
      <c r="P17" s="277">
        <v>18</v>
      </c>
    </row>
    <row r="18" spans="1:16" ht="12.75">
      <c r="A18" s="63"/>
      <c r="B18" s="163"/>
      <c r="C18" s="63"/>
      <c r="D18" s="63"/>
      <c r="E18" s="163"/>
      <c r="F18" s="163"/>
      <c r="G18" s="164"/>
      <c r="H18" s="164"/>
      <c r="I18" s="165"/>
      <c r="N18" s="168" t="s">
        <v>16</v>
      </c>
      <c r="O18" s="169">
        <v>5886.52</v>
      </c>
      <c r="P18" s="277">
        <v>19</v>
      </c>
    </row>
    <row r="19" spans="14:16" ht="12.75">
      <c r="N19" s="168" t="s">
        <v>17</v>
      </c>
      <c r="O19" s="169">
        <v>7681.64</v>
      </c>
      <c r="P19" s="277">
        <v>46</v>
      </c>
    </row>
    <row r="20" spans="1:16" ht="12.75">
      <c r="A20" s="63"/>
      <c r="B20" s="163" t="s">
        <v>540</v>
      </c>
      <c r="C20" s="63"/>
      <c r="D20" s="63"/>
      <c r="E20" s="163"/>
      <c r="F20" s="63"/>
      <c r="G20" s="63"/>
      <c r="H20" s="164">
        <f>L164</f>
        <v>0</v>
      </c>
      <c r="I20" s="165"/>
      <c r="K20" s="1"/>
      <c r="N20" s="168" t="s">
        <v>18</v>
      </c>
      <c r="O20" s="169">
        <v>9871.3</v>
      </c>
      <c r="P20" s="277">
        <v>47</v>
      </c>
    </row>
    <row r="21" spans="14:16" ht="12.75">
      <c r="N21" s="168" t="s">
        <v>550</v>
      </c>
      <c r="O21" s="169">
        <v>6322.25</v>
      </c>
      <c r="P21" s="277">
        <v>49</v>
      </c>
    </row>
    <row r="22" spans="2:16" ht="12.75">
      <c r="B22" s="278" t="s">
        <v>648</v>
      </c>
      <c r="N22" s="168" t="s">
        <v>20</v>
      </c>
      <c r="O22" s="169">
        <v>6288.08</v>
      </c>
      <c r="P22" s="277">
        <v>50</v>
      </c>
    </row>
    <row r="23" spans="14:16" ht="12.75">
      <c r="N23" s="168" t="s">
        <v>21</v>
      </c>
      <c r="O23" s="169">
        <v>6455.66</v>
      </c>
      <c r="P23" s="277">
        <v>51</v>
      </c>
    </row>
    <row r="24" spans="5:16" ht="12.75">
      <c r="E24" s="76" t="s">
        <v>541</v>
      </c>
      <c r="F24" s="356" t="s">
        <v>10</v>
      </c>
      <c r="G24" s="357"/>
      <c r="H24" s="61"/>
      <c r="I24" s="76" t="s">
        <v>541</v>
      </c>
      <c r="J24" s="356" t="s">
        <v>11</v>
      </c>
      <c r="K24" s="357"/>
      <c r="L24" s="61"/>
      <c r="N24" s="168" t="s">
        <v>22</v>
      </c>
      <c r="O24" s="169">
        <v>6976.38</v>
      </c>
      <c r="P24" s="277">
        <v>52</v>
      </c>
    </row>
    <row r="25" spans="5:16" ht="12.75">
      <c r="E25" s="62"/>
      <c r="F25" s="63"/>
      <c r="G25" s="63"/>
      <c r="H25" s="64"/>
      <c r="I25" s="62"/>
      <c r="J25" s="63"/>
      <c r="K25" s="63"/>
      <c r="L25" s="64"/>
      <c r="N25" s="168" t="s">
        <v>23</v>
      </c>
      <c r="O25" s="169">
        <v>5887.49</v>
      </c>
      <c r="P25" s="277">
        <v>61</v>
      </c>
    </row>
    <row r="26" spans="5:16" ht="12.75">
      <c r="E26" s="62"/>
      <c r="F26" s="65" t="s">
        <v>446</v>
      </c>
      <c r="G26" s="65" t="s">
        <v>538</v>
      </c>
      <c r="H26" s="66" t="s">
        <v>3</v>
      </c>
      <c r="I26" s="62"/>
      <c r="J26" s="65" t="s">
        <v>446</v>
      </c>
      <c r="K26" s="65" t="s">
        <v>538</v>
      </c>
      <c r="L26" s="66" t="s">
        <v>3</v>
      </c>
      <c r="N26" s="168" t="s">
        <v>24</v>
      </c>
      <c r="O26" s="169">
        <v>6801.64</v>
      </c>
      <c r="P26" s="277">
        <v>69</v>
      </c>
    </row>
    <row r="27" spans="5:16" ht="12.75">
      <c r="E27" s="67" t="s">
        <v>457</v>
      </c>
      <c r="F27" s="36"/>
      <c r="G27" s="59">
        <f>G28*0.91</f>
        <v>5337.8234</v>
      </c>
      <c r="H27" s="68">
        <f>F27*G27</f>
        <v>0</v>
      </c>
      <c r="I27" s="67" t="s">
        <v>457</v>
      </c>
      <c r="J27" s="36"/>
      <c r="K27" s="59">
        <f>K28*0.91</f>
        <v>6171.1467999999995</v>
      </c>
      <c r="L27" s="68">
        <f>J27*K27</f>
        <v>0</v>
      </c>
      <c r="N27" s="168" t="s">
        <v>25</v>
      </c>
      <c r="O27" s="169">
        <v>7033.76</v>
      </c>
      <c r="P27" s="277">
        <v>71</v>
      </c>
    </row>
    <row r="28" spans="5:16" ht="12.75">
      <c r="E28" s="67" t="s">
        <v>458</v>
      </c>
      <c r="F28" s="36"/>
      <c r="G28" s="59">
        <f>INDEX(kkkpo,MATCH(F24,kuntanimi,0),1,1)</f>
        <v>5865.74</v>
      </c>
      <c r="H28" s="68">
        <f>F28*G28</f>
        <v>0</v>
      </c>
      <c r="I28" s="67" t="s">
        <v>458</v>
      </c>
      <c r="J28" s="36"/>
      <c r="K28" s="59">
        <f>INDEX(kkkpo,MATCH(J24,kuntanimi,0),1,1)</f>
        <v>6781.48</v>
      </c>
      <c r="L28" s="68">
        <f>J28*K28</f>
        <v>0</v>
      </c>
      <c r="N28" s="168" t="s">
        <v>26</v>
      </c>
      <c r="O28" s="169">
        <v>8885.01</v>
      </c>
      <c r="P28" s="277">
        <v>72</v>
      </c>
    </row>
    <row r="29" spans="5:16" ht="12.75">
      <c r="E29" s="62" t="s">
        <v>459</v>
      </c>
      <c r="F29" s="36"/>
      <c r="G29" s="59">
        <f>G28*1.35</f>
        <v>7918.749</v>
      </c>
      <c r="H29" s="68">
        <f>F29*G29</f>
        <v>0</v>
      </c>
      <c r="I29" s="62" t="s">
        <v>459</v>
      </c>
      <c r="J29" s="36"/>
      <c r="K29" s="59">
        <f>K28*1.35</f>
        <v>9154.998</v>
      </c>
      <c r="L29" s="68">
        <f>J29*K29</f>
        <v>0</v>
      </c>
      <c r="N29" s="168" t="s">
        <v>27</v>
      </c>
      <c r="O29" s="169">
        <v>7846.28</v>
      </c>
      <c r="P29" s="277">
        <v>74</v>
      </c>
    </row>
    <row r="30" spans="5:16" ht="12.75">
      <c r="E30" s="69" t="s">
        <v>619</v>
      </c>
      <c r="F30" s="70"/>
      <c r="G30" s="71"/>
      <c r="H30" s="72">
        <f>SUM(H27:H29)</f>
        <v>0</v>
      </c>
      <c r="I30" s="69" t="s">
        <v>619</v>
      </c>
      <c r="J30" s="70"/>
      <c r="K30" s="71"/>
      <c r="L30" s="72">
        <f>SUM(L27:L29)</f>
        <v>0</v>
      </c>
      <c r="N30" s="168" t="s">
        <v>28</v>
      </c>
      <c r="O30" s="169">
        <v>6004.82</v>
      </c>
      <c r="P30" s="277">
        <v>75</v>
      </c>
    </row>
    <row r="31" spans="5:16" ht="12.75">
      <c r="E31" s="76" t="s">
        <v>541</v>
      </c>
      <c r="F31" s="356" t="s">
        <v>12</v>
      </c>
      <c r="G31" s="357"/>
      <c r="H31" s="61"/>
      <c r="I31" s="76" t="s">
        <v>541</v>
      </c>
      <c r="J31" s="356" t="s">
        <v>13</v>
      </c>
      <c r="K31" s="357"/>
      <c r="L31" s="61"/>
      <c r="N31" s="168" t="s">
        <v>29</v>
      </c>
      <c r="O31" s="169">
        <v>6823.25</v>
      </c>
      <c r="P31" s="277">
        <v>77</v>
      </c>
    </row>
    <row r="32" spans="5:16" ht="12.75">
      <c r="E32" s="62"/>
      <c r="F32" s="63"/>
      <c r="G32" s="63"/>
      <c r="H32" s="64"/>
      <c r="I32" s="62"/>
      <c r="J32" s="63"/>
      <c r="K32" s="63"/>
      <c r="L32" s="64"/>
      <c r="N32" s="168" t="s">
        <v>30</v>
      </c>
      <c r="O32" s="169">
        <v>6524.32</v>
      </c>
      <c r="P32" s="277">
        <v>78</v>
      </c>
    </row>
    <row r="33" spans="5:16" ht="12.75">
      <c r="E33" s="62"/>
      <c r="F33" s="65" t="s">
        <v>446</v>
      </c>
      <c r="G33" s="65" t="s">
        <v>538</v>
      </c>
      <c r="H33" s="66" t="s">
        <v>3</v>
      </c>
      <c r="I33" s="62"/>
      <c r="J33" s="65" t="s">
        <v>446</v>
      </c>
      <c r="K33" s="65" t="s">
        <v>538</v>
      </c>
      <c r="L33" s="66" t="s">
        <v>3</v>
      </c>
      <c r="N33" s="168" t="s">
        <v>31</v>
      </c>
      <c r="O33" s="169">
        <v>5878.36</v>
      </c>
      <c r="P33" s="277">
        <v>79</v>
      </c>
    </row>
    <row r="34" spans="5:16" ht="12.75">
      <c r="E34" s="67" t="s">
        <v>457</v>
      </c>
      <c r="F34" s="36"/>
      <c r="G34" s="59">
        <f>G35*0.91</f>
        <v>6130.4971000000005</v>
      </c>
      <c r="H34" s="68">
        <f>F34*G34</f>
        <v>0</v>
      </c>
      <c r="I34" s="67" t="s">
        <v>457</v>
      </c>
      <c r="J34" s="36"/>
      <c r="K34" s="59">
        <f>K35*0.91</f>
        <v>6102.8149</v>
      </c>
      <c r="L34" s="68">
        <f>J34*K34</f>
        <v>0</v>
      </c>
      <c r="N34" s="168" t="s">
        <v>32</v>
      </c>
      <c r="O34" s="169">
        <v>7118.81</v>
      </c>
      <c r="P34" s="277">
        <v>81</v>
      </c>
    </row>
    <row r="35" spans="5:16" ht="12.75">
      <c r="E35" s="67" t="s">
        <v>458</v>
      </c>
      <c r="F35" s="36"/>
      <c r="G35" s="59">
        <f>INDEX(kkkpo,MATCH(F31,kuntanimi,0),1,1)</f>
        <v>6736.81</v>
      </c>
      <c r="H35" s="68">
        <f>F35*G35</f>
        <v>0</v>
      </c>
      <c r="I35" s="67" t="s">
        <v>458</v>
      </c>
      <c r="J35" s="36"/>
      <c r="K35" s="59">
        <f>INDEX(kkkpo,MATCH(J31,kuntanimi,0),1,1)</f>
        <v>6706.39</v>
      </c>
      <c r="L35" s="68">
        <f>J35*K35</f>
        <v>0</v>
      </c>
      <c r="N35" s="168" t="s">
        <v>33</v>
      </c>
      <c r="O35" s="169">
        <v>6117.65</v>
      </c>
      <c r="P35" s="277">
        <v>82</v>
      </c>
    </row>
    <row r="36" spans="5:16" ht="12.75">
      <c r="E36" s="62" t="s">
        <v>459</v>
      </c>
      <c r="F36" s="36"/>
      <c r="G36" s="59">
        <f>G35*1.35</f>
        <v>9094.693500000001</v>
      </c>
      <c r="H36" s="68">
        <f>F36*G36</f>
        <v>0</v>
      </c>
      <c r="I36" s="62" t="s">
        <v>459</v>
      </c>
      <c r="J36" s="36"/>
      <c r="K36" s="59">
        <f>K35*1.35</f>
        <v>9053.6265</v>
      </c>
      <c r="L36" s="68">
        <f>J36*K36</f>
        <v>0</v>
      </c>
      <c r="N36" s="168" t="s">
        <v>34</v>
      </c>
      <c r="O36" s="169">
        <v>6261.51</v>
      </c>
      <c r="P36" s="277">
        <v>86</v>
      </c>
    </row>
    <row r="37" spans="5:16" ht="12.75">
      <c r="E37" s="69" t="s">
        <v>619</v>
      </c>
      <c r="F37" s="70"/>
      <c r="G37" s="71"/>
      <c r="H37" s="72">
        <f>SUM(H34:H36)</f>
        <v>0</v>
      </c>
      <c r="I37" s="69" t="s">
        <v>619</v>
      </c>
      <c r="J37" s="70"/>
      <c r="K37" s="71"/>
      <c r="L37" s="72">
        <f>SUM(L34:L36)</f>
        <v>0</v>
      </c>
      <c r="N37" s="168" t="s">
        <v>35</v>
      </c>
      <c r="O37" s="169">
        <v>6088.73</v>
      </c>
      <c r="P37" s="277">
        <v>111</v>
      </c>
    </row>
    <row r="38" spans="5:16" ht="12.75">
      <c r="E38" s="76" t="s">
        <v>541</v>
      </c>
      <c r="F38" s="356" t="s">
        <v>14</v>
      </c>
      <c r="G38" s="357"/>
      <c r="H38" s="61"/>
      <c r="I38" s="76" t="s">
        <v>541</v>
      </c>
      <c r="J38" s="356" t="s">
        <v>15</v>
      </c>
      <c r="K38" s="357"/>
      <c r="L38" s="61"/>
      <c r="N38" s="168" t="s">
        <v>36</v>
      </c>
      <c r="O38" s="169">
        <v>7558.25</v>
      </c>
      <c r="P38" s="277">
        <v>90</v>
      </c>
    </row>
    <row r="39" spans="5:16" ht="12.75">
      <c r="E39" s="62"/>
      <c r="F39" s="63"/>
      <c r="G39" s="63"/>
      <c r="H39" s="64"/>
      <c r="I39" s="62"/>
      <c r="J39" s="63"/>
      <c r="K39" s="63"/>
      <c r="L39" s="64"/>
      <c r="N39" s="168" t="s">
        <v>37</v>
      </c>
      <c r="O39" s="169">
        <v>6369.13</v>
      </c>
      <c r="P39" s="277">
        <v>91</v>
      </c>
    </row>
    <row r="40" spans="5:16" ht="12.75">
      <c r="E40" s="62"/>
      <c r="F40" s="65" t="s">
        <v>446</v>
      </c>
      <c r="G40" s="65" t="s">
        <v>538</v>
      </c>
      <c r="H40" s="66" t="s">
        <v>3</v>
      </c>
      <c r="I40" s="62"/>
      <c r="J40" s="65" t="s">
        <v>446</v>
      </c>
      <c r="K40" s="65" t="s">
        <v>538</v>
      </c>
      <c r="L40" s="66" t="s">
        <v>3</v>
      </c>
      <c r="N40" s="168" t="s">
        <v>38</v>
      </c>
      <c r="O40" s="169">
        <v>7230.73</v>
      </c>
      <c r="P40" s="277">
        <v>97</v>
      </c>
    </row>
    <row r="41" spans="5:16" ht="12.75">
      <c r="E41" s="67" t="s">
        <v>457</v>
      </c>
      <c r="F41" s="36"/>
      <c r="G41" s="59">
        <f>G42*0.91</f>
        <v>5933.2728</v>
      </c>
      <c r="H41" s="68">
        <f>F41*G41</f>
        <v>0</v>
      </c>
      <c r="I41" s="67" t="s">
        <v>457</v>
      </c>
      <c r="J41" s="36"/>
      <c r="K41" s="59">
        <f>K42*0.91</f>
        <v>5687.3544</v>
      </c>
      <c r="L41" s="68">
        <f>J41*K41</f>
        <v>0</v>
      </c>
      <c r="N41" s="168" t="s">
        <v>39</v>
      </c>
      <c r="O41" s="169">
        <v>5869.33</v>
      </c>
      <c r="P41" s="277">
        <v>98</v>
      </c>
    </row>
    <row r="42" spans="5:16" ht="12.75">
      <c r="E42" s="67" t="s">
        <v>458</v>
      </c>
      <c r="F42" s="36"/>
      <c r="G42" s="59">
        <f>INDEX(kkkpo,MATCH(F38,kuntanimi,0),1,1)</f>
        <v>6520.08</v>
      </c>
      <c r="H42" s="68">
        <f>F42*G42</f>
        <v>0</v>
      </c>
      <c r="I42" s="67" t="s">
        <v>458</v>
      </c>
      <c r="J42" s="36"/>
      <c r="K42" s="59">
        <f>INDEX(kkkpo,MATCH(J38,kuntanimi,0),1,1)</f>
        <v>6249.84</v>
      </c>
      <c r="L42" s="68">
        <f>J42*K42</f>
        <v>0</v>
      </c>
      <c r="N42" s="168" t="s">
        <v>40</v>
      </c>
      <c r="O42" s="169">
        <v>7277.74</v>
      </c>
      <c r="P42" s="277">
        <v>99</v>
      </c>
    </row>
    <row r="43" spans="5:16" ht="12.75">
      <c r="E43" s="62" t="s">
        <v>459</v>
      </c>
      <c r="F43" s="36"/>
      <c r="G43" s="59">
        <f>G42*1.35</f>
        <v>8802.108</v>
      </c>
      <c r="H43" s="68">
        <f>F43*G43</f>
        <v>0</v>
      </c>
      <c r="I43" s="62" t="s">
        <v>459</v>
      </c>
      <c r="J43" s="36"/>
      <c r="K43" s="59">
        <f>K42*1.35</f>
        <v>8437.284000000001</v>
      </c>
      <c r="L43" s="68">
        <f>J43*K43</f>
        <v>0</v>
      </c>
      <c r="N43" s="168" t="s">
        <v>41</v>
      </c>
      <c r="O43" s="169">
        <v>6353.9</v>
      </c>
      <c r="P43" s="277">
        <v>102</v>
      </c>
    </row>
    <row r="44" spans="5:16" ht="12.75">
      <c r="E44" s="69" t="s">
        <v>619</v>
      </c>
      <c r="F44" s="70"/>
      <c r="G44" s="71"/>
      <c r="H44" s="72">
        <f>SUM(H41:H43)</f>
        <v>0</v>
      </c>
      <c r="I44" s="69" t="s">
        <v>619</v>
      </c>
      <c r="J44" s="70"/>
      <c r="K44" s="71"/>
      <c r="L44" s="72">
        <f>SUM(L41:L43)</f>
        <v>0</v>
      </c>
      <c r="N44" s="168" t="s">
        <v>42</v>
      </c>
      <c r="O44" s="169">
        <v>6459.49</v>
      </c>
      <c r="P44" s="277">
        <v>103</v>
      </c>
    </row>
    <row r="45" spans="5:16" ht="12.75">
      <c r="E45" s="76" t="s">
        <v>541</v>
      </c>
      <c r="F45" s="356" t="s">
        <v>16</v>
      </c>
      <c r="G45" s="357"/>
      <c r="H45" s="61"/>
      <c r="I45" s="76" t="s">
        <v>541</v>
      </c>
      <c r="J45" s="356" t="s">
        <v>17</v>
      </c>
      <c r="K45" s="357"/>
      <c r="L45" s="61"/>
      <c r="N45" s="168" t="s">
        <v>43</v>
      </c>
      <c r="O45" s="169">
        <v>8292.59</v>
      </c>
      <c r="P45" s="277">
        <v>105</v>
      </c>
    </row>
    <row r="46" spans="5:16" ht="12.75">
      <c r="E46" s="62"/>
      <c r="F46" s="63"/>
      <c r="G46" s="63"/>
      <c r="H46" s="64"/>
      <c r="I46" s="62"/>
      <c r="J46" s="63"/>
      <c r="K46" s="63"/>
      <c r="L46" s="64"/>
      <c r="N46" s="168" t="s">
        <v>44</v>
      </c>
      <c r="O46" s="169">
        <v>5912.44</v>
      </c>
      <c r="P46" s="277">
        <v>106</v>
      </c>
    </row>
    <row r="47" spans="5:16" ht="12.75">
      <c r="E47" s="62"/>
      <c r="F47" s="65" t="s">
        <v>446</v>
      </c>
      <c r="G47" s="65" t="s">
        <v>538</v>
      </c>
      <c r="H47" s="66" t="s">
        <v>3</v>
      </c>
      <c r="I47" s="62"/>
      <c r="J47" s="65" t="s">
        <v>446</v>
      </c>
      <c r="K47" s="65" t="s">
        <v>538</v>
      </c>
      <c r="L47" s="66" t="s">
        <v>3</v>
      </c>
      <c r="N47" s="168" t="s">
        <v>45</v>
      </c>
      <c r="O47" s="169">
        <v>6737.91</v>
      </c>
      <c r="P47" s="277">
        <v>283</v>
      </c>
    </row>
    <row r="48" spans="5:16" ht="12.75">
      <c r="E48" s="67" t="s">
        <v>457</v>
      </c>
      <c r="F48" s="36"/>
      <c r="G48" s="59">
        <f>G49*0.91</f>
        <v>5356.733200000001</v>
      </c>
      <c r="H48" s="68">
        <f>F48*G48</f>
        <v>0</v>
      </c>
      <c r="I48" s="67" t="s">
        <v>457</v>
      </c>
      <c r="J48" s="36"/>
      <c r="K48" s="59">
        <f>K49*0.91</f>
        <v>6990.2924</v>
      </c>
      <c r="L48" s="68">
        <f>J48*K48</f>
        <v>0</v>
      </c>
      <c r="N48" s="168" t="s">
        <v>46</v>
      </c>
      <c r="O48" s="169">
        <v>6253.5</v>
      </c>
      <c r="P48" s="277">
        <v>108</v>
      </c>
    </row>
    <row r="49" spans="5:16" ht="12.75">
      <c r="E49" s="67" t="s">
        <v>458</v>
      </c>
      <c r="F49" s="36"/>
      <c r="G49" s="59">
        <f>INDEX(kkkpo,MATCH(F45,kuntanimi,0),1,1)</f>
        <v>5886.52</v>
      </c>
      <c r="H49" s="68">
        <f>F49*G49</f>
        <v>0</v>
      </c>
      <c r="I49" s="67" t="s">
        <v>458</v>
      </c>
      <c r="J49" s="36"/>
      <c r="K49" s="59">
        <f>INDEX(kkkpo,MATCH(J45,kuntanimi,0),1,1)</f>
        <v>7681.64</v>
      </c>
      <c r="L49" s="68">
        <f>J49*K49</f>
        <v>0</v>
      </c>
      <c r="N49" s="168" t="s">
        <v>47</v>
      </c>
      <c r="O49" s="169">
        <v>5935.12</v>
      </c>
      <c r="P49" s="277">
        <v>109</v>
      </c>
    </row>
    <row r="50" spans="5:16" ht="12.75">
      <c r="E50" s="62" t="s">
        <v>459</v>
      </c>
      <c r="F50" s="36"/>
      <c r="G50" s="59">
        <f>G49*1.35</f>
        <v>7946.8020000000015</v>
      </c>
      <c r="H50" s="68">
        <f>F50*G50</f>
        <v>0</v>
      </c>
      <c r="I50" s="62" t="s">
        <v>459</v>
      </c>
      <c r="J50" s="36"/>
      <c r="K50" s="59">
        <f>K49*1.35</f>
        <v>10370.214000000002</v>
      </c>
      <c r="L50" s="68">
        <f>J50*K50</f>
        <v>0</v>
      </c>
      <c r="N50" s="168" t="s">
        <v>48</v>
      </c>
      <c r="O50" s="169">
        <v>7134.94</v>
      </c>
      <c r="P50" s="277">
        <v>139</v>
      </c>
    </row>
    <row r="51" spans="5:16" ht="12.75">
      <c r="E51" s="69" t="s">
        <v>619</v>
      </c>
      <c r="F51" s="70"/>
      <c r="G51" s="71"/>
      <c r="H51" s="72">
        <f>SUM(H48:H50)</f>
        <v>0</v>
      </c>
      <c r="I51" s="69" t="s">
        <v>619</v>
      </c>
      <c r="J51" s="70"/>
      <c r="K51" s="71"/>
      <c r="L51" s="72">
        <f>SUM(L48:L50)</f>
        <v>0</v>
      </c>
      <c r="N51" s="170" t="s">
        <v>49</v>
      </c>
      <c r="O51" s="169">
        <v>6087.45</v>
      </c>
      <c r="P51" s="277">
        <v>140</v>
      </c>
    </row>
    <row r="52" spans="5:16" ht="12.75">
      <c r="E52" s="76" t="s">
        <v>541</v>
      </c>
      <c r="F52" s="356" t="s">
        <v>18</v>
      </c>
      <c r="G52" s="357"/>
      <c r="H52" s="61"/>
      <c r="I52" s="76" t="s">
        <v>541</v>
      </c>
      <c r="J52" s="356" t="s">
        <v>19</v>
      </c>
      <c r="K52" s="357"/>
      <c r="L52" s="61"/>
      <c r="N52" s="168" t="s">
        <v>50</v>
      </c>
      <c r="O52" s="169">
        <v>6695.58</v>
      </c>
      <c r="P52" s="277">
        <v>142</v>
      </c>
    </row>
    <row r="53" spans="5:16" ht="12.75">
      <c r="E53" s="62"/>
      <c r="F53" s="63"/>
      <c r="G53" s="63"/>
      <c r="H53" s="64"/>
      <c r="I53" s="62"/>
      <c r="J53" s="63"/>
      <c r="K53" s="63"/>
      <c r="L53" s="64"/>
      <c r="N53" s="168" t="s">
        <v>51</v>
      </c>
      <c r="O53" s="169">
        <v>6825</v>
      </c>
      <c r="P53" s="277">
        <v>143</v>
      </c>
    </row>
    <row r="54" spans="5:16" ht="12.75">
      <c r="E54" s="62"/>
      <c r="F54" s="65" t="s">
        <v>446</v>
      </c>
      <c r="G54" s="65" t="s">
        <v>538</v>
      </c>
      <c r="H54" s="66" t="s">
        <v>3</v>
      </c>
      <c r="I54" s="62"/>
      <c r="J54" s="65" t="s">
        <v>446</v>
      </c>
      <c r="K54" s="65" t="s">
        <v>538</v>
      </c>
      <c r="L54" s="66" t="s">
        <v>3</v>
      </c>
      <c r="N54" s="168" t="s">
        <v>52</v>
      </c>
      <c r="O54" s="169">
        <v>6314.38</v>
      </c>
      <c r="P54" s="277">
        <v>145</v>
      </c>
    </row>
    <row r="55" spans="5:16" ht="12.75">
      <c r="E55" s="67" t="s">
        <v>457</v>
      </c>
      <c r="F55" s="36"/>
      <c r="G55" s="59">
        <f>G56*0.91</f>
        <v>8982.883</v>
      </c>
      <c r="H55" s="68">
        <f>F55*G55</f>
        <v>0</v>
      </c>
      <c r="I55" s="67" t="s">
        <v>457</v>
      </c>
      <c r="J55" s="36"/>
      <c r="K55" s="59">
        <f>K56*0.91</f>
        <v>5753.2475</v>
      </c>
      <c r="L55" s="68">
        <f>J55*K55</f>
        <v>0</v>
      </c>
      <c r="N55" s="168" t="s">
        <v>53</v>
      </c>
      <c r="O55" s="169">
        <v>8178.06</v>
      </c>
      <c r="P55" s="277">
        <v>146</v>
      </c>
    </row>
    <row r="56" spans="5:16" ht="12.75">
      <c r="E56" s="67" t="s">
        <v>458</v>
      </c>
      <c r="F56" s="36"/>
      <c r="G56" s="59">
        <f>INDEX(kkkpo,MATCH(F52,kuntanimi,0),1,1)</f>
        <v>9871.3</v>
      </c>
      <c r="H56" s="68">
        <f>F56*G56</f>
        <v>0</v>
      </c>
      <c r="I56" s="67" t="s">
        <v>458</v>
      </c>
      <c r="J56" s="36"/>
      <c r="K56" s="59">
        <f>INDEX(kkkpo,MATCH(J52,kuntanimi,0),1,1)</f>
        <v>6322.25</v>
      </c>
      <c r="L56" s="68">
        <f>J56*K56</f>
        <v>0</v>
      </c>
      <c r="N56" s="168" t="s">
        <v>54</v>
      </c>
      <c r="O56" s="169">
        <v>5905.18</v>
      </c>
      <c r="P56" s="277">
        <v>153</v>
      </c>
    </row>
    <row r="57" spans="5:16" ht="12.75">
      <c r="E57" s="62" t="s">
        <v>459</v>
      </c>
      <c r="F57" s="36"/>
      <c r="G57" s="59">
        <f>G56*1.35</f>
        <v>13326.255</v>
      </c>
      <c r="H57" s="68">
        <f>F57*G57</f>
        <v>0</v>
      </c>
      <c r="I57" s="62" t="s">
        <v>459</v>
      </c>
      <c r="J57" s="36"/>
      <c r="K57" s="59">
        <f>K56*1.35</f>
        <v>8535.0375</v>
      </c>
      <c r="L57" s="68">
        <f>J57*K57</f>
        <v>0</v>
      </c>
      <c r="N57" s="168" t="s">
        <v>55</v>
      </c>
      <c r="O57" s="169">
        <v>9410.97</v>
      </c>
      <c r="P57" s="277">
        <v>148</v>
      </c>
    </row>
    <row r="58" spans="5:16" ht="12.75">
      <c r="E58" s="69" t="s">
        <v>619</v>
      </c>
      <c r="F58" s="70"/>
      <c r="G58" s="71"/>
      <c r="H58" s="72">
        <f>SUM(H55:H57)</f>
        <v>0</v>
      </c>
      <c r="I58" s="69" t="s">
        <v>619</v>
      </c>
      <c r="J58" s="70"/>
      <c r="K58" s="71"/>
      <c r="L58" s="72">
        <f>SUM(L55:L57)</f>
        <v>0</v>
      </c>
      <c r="N58" s="168" t="s">
        <v>56</v>
      </c>
      <c r="O58" s="169">
        <v>7233.38</v>
      </c>
      <c r="P58" s="277">
        <v>149</v>
      </c>
    </row>
    <row r="59" spans="5:16" ht="12.75">
      <c r="E59" s="76" t="s">
        <v>541</v>
      </c>
      <c r="F59" s="356" t="s">
        <v>20</v>
      </c>
      <c r="G59" s="357"/>
      <c r="H59" s="61"/>
      <c r="I59" s="76" t="s">
        <v>541</v>
      </c>
      <c r="J59" s="356" t="s">
        <v>112</v>
      </c>
      <c r="K59" s="357"/>
      <c r="L59" s="61"/>
      <c r="N59" s="168" t="s">
        <v>57</v>
      </c>
      <c r="O59" s="169">
        <v>7577.75</v>
      </c>
      <c r="P59" s="277">
        <v>151</v>
      </c>
    </row>
    <row r="60" spans="5:16" ht="12.75">
      <c r="E60" s="62"/>
      <c r="F60" s="63"/>
      <c r="G60" s="63"/>
      <c r="H60" s="64"/>
      <c r="I60" s="62"/>
      <c r="J60" s="63"/>
      <c r="K60" s="63"/>
      <c r="L60" s="64"/>
      <c r="N60" s="168" t="s">
        <v>58</v>
      </c>
      <c r="O60" s="169">
        <v>6574.74</v>
      </c>
      <c r="P60" s="277">
        <v>152</v>
      </c>
    </row>
    <row r="61" spans="5:16" ht="12.75">
      <c r="E61" s="62"/>
      <c r="F61" s="65" t="s">
        <v>446</v>
      </c>
      <c r="G61" s="65" t="s">
        <v>538</v>
      </c>
      <c r="H61" s="66" t="s">
        <v>3</v>
      </c>
      <c r="I61" s="62"/>
      <c r="J61" s="65" t="s">
        <v>446</v>
      </c>
      <c r="K61" s="65" t="s">
        <v>538</v>
      </c>
      <c r="L61" s="66" t="s">
        <v>3</v>
      </c>
      <c r="N61" s="168" t="s">
        <v>59</v>
      </c>
      <c r="O61" s="169">
        <v>6802.66</v>
      </c>
      <c r="P61" s="277">
        <v>164</v>
      </c>
    </row>
    <row r="62" spans="5:16" ht="12.75">
      <c r="E62" s="67" t="s">
        <v>457</v>
      </c>
      <c r="F62" s="36"/>
      <c r="G62" s="59">
        <f>G63*0.91</f>
        <v>5722.1528</v>
      </c>
      <c r="H62" s="68">
        <f>F62*G62</f>
        <v>0</v>
      </c>
      <c r="I62" s="67" t="s">
        <v>457</v>
      </c>
      <c r="J62" s="36"/>
      <c r="K62" s="59">
        <f>K63*0.91</f>
        <v>6085.7979</v>
      </c>
      <c r="L62" s="68">
        <f>J62*K62</f>
        <v>0</v>
      </c>
      <c r="N62" s="168" t="s">
        <v>60</v>
      </c>
      <c r="O62" s="169">
        <v>6044.26</v>
      </c>
      <c r="P62" s="277">
        <v>165</v>
      </c>
    </row>
    <row r="63" spans="5:16" ht="12.75">
      <c r="E63" s="67" t="s">
        <v>458</v>
      </c>
      <c r="F63" s="36"/>
      <c r="G63" s="59">
        <f>INDEX(kkkpo,MATCH(F59,kuntanimi,0),1,1)</f>
        <v>6288.08</v>
      </c>
      <c r="H63" s="68">
        <f>F63*G63</f>
        <v>0</v>
      </c>
      <c r="I63" s="67" t="s">
        <v>458</v>
      </c>
      <c r="J63" s="36"/>
      <c r="K63" s="59">
        <f>INDEX(kkkpo,MATCH(J59,kuntanimi,0),1,1)</f>
        <v>6687.69</v>
      </c>
      <c r="L63" s="68">
        <f>J63*K63</f>
        <v>0</v>
      </c>
      <c r="N63" s="168" t="s">
        <v>61</v>
      </c>
      <c r="O63" s="169">
        <v>6068.47</v>
      </c>
      <c r="P63" s="277">
        <v>167</v>
      </c>
    </row>
    <row r="64" spans="5:16" ht="12.75">
      <c r="E64" s="62" t="s">
        <v>459</v>
      </c>
      <c r="F64" s="36"/>
      <c r="G64" s="59">
        <f>G63*1.35</f>
        <v>8488.908000000001</v>
      </c>
      <c r="H64" s="68">
        <f>F64*G64</f>
        <v>0</v>
      </c>
      <c r="I64" s="62" t="s">
        <v>459</v>
      </c>
      <c r="J64" s="36"/>
      <c r="K64" s="59">
        <f>K63*1.35</f>
        <v>9028.3815</v>
      </c>
      <c r="L64" s="68">
        <f>J64*K64</f>
        <v>0</v>
      </c>
      <c r="N64" s="168" t="s">
        <v>62</v>
      </c>
      <c r="O64" s="169">
        <v>6042.49</v>
      </c>
      <c r="P64" s="277">
        <v>169</v>
      </c>
    </row>
    <row r="65" spans="5:16" ht="12.75">
      <c r="E65" s="69" t="s">
        <v>619</v>
      </c>
      <c r="F65" s="70"/>
      <c r="G65" s="71"/>
      <c r="H65" s="72">
        <f>SUM(H62:H64)</f>
        <v>0</v>
      </c>
      <c r="I65" s="69" t="s">
        <v>619</v>
      </c>
      <c r="J65" s="70"/>
      <c r="K65" s="71"/>
      <c r="L65" s="72">
        <f>SUM(L62:L64)</f>
        <v>0</v>
      </c>
      <c r="N65" s="168" t="s">
        <v>63</v>
      </c>
      <c r="O65" s="169">
        <v>6849.01</v>
      </c>
      <c r="P65" s="277">
        <v>171</v>
      </c>
    </row>
    <row r="66" spans="5:16" ht="12.75">
      <c r="E66" s="76" t="s">
        <v>541</v>
      </c>
      <c r="F66" s="356" t="s">
        <v>10</v>
      </c>
      <c r="G66" s="357"/>
      <c r="H66" s="61"/>
      <c r="I66" s="76" t="s">
        <v>541</v>
      </c>
      <c r="J66" s="356" t="s">
        <v>11</v>
      </c>
      <c r="K66" s="357"/>
      <c r="L66" s="61"/>
      <c r="N66" s="168" t="s">
        <v>64</v>
      </c>
      <c r="O66" s="169">
        <v>7174.68</v>
      </c>
      <c r="P66" s="277">
        <v>172</v>
      </c>
    </row>
    <row r="67" spans="5:16" ht="12.75">
      <c r="E67" s="62"/>
      <c r="F67" s="63"/>
      <c r="G67" s="63"/>
      <c r="H67" s="64"/>
      <c r="I67" s="62"/>
      <c r="J67" s="63"/>
      <c r="K67" s="63"/>
      <c r="L67" s="64"/>
      <c r="N67" s="168" t="s">
        <v>65</v>
      </c>
      <c r="O67" s="169">
        <v>6744.22</v>
      </c>
      <c r="P67" s="277">
        <v>174</v>
      </c>
    </row>
    <row r="68" spans="5:16" ht="12.75">
      <c r="E68" s="62"/>
      <c r="F68" s="65" t="s">
        <v>446</v>
      </c>
      <c r="G68" s="65" t="s">
        <v>538</v>
      </c>
      <c r="H68" s="66" t="s">
        <v>3</v>
      </c>
      <c r="I68" s="62"/>
      <c r="J68" s="65" t="s">
        <v>446</v>
      </c>
      <c r="K68" s="65" t="s">
        <v>538</v>
      </c>
      <c r="L68" s="66" t="s">
        <v>3</v>
      </c>
      <c r="N68" s="168" t="s">
        <v>66</v>
      </c>
      <c r="O68" s="169">
        <v>7597.28</v>
      </c>
      <c r="P68" s="277">
        <v>176</v>
      </c>
    </row>
    <row r="69" spans="5:16" ht="12.75">
      <c r="E69" s="67" t="s">
        <v>457</v>
      </c>
      <c r="F69" s="36"/>
      <c r="G69" s="59">
        <f>G70*0.91</f>
        <v>5337.8234</v>
      </c>
      <c r="H69" s="68">
        <f>F69*G69</f>
        <v>0</v>
      </c>
      <c r="I69" s="67" t="s">
        <v>457</v>
      </c>
      <c r="J69" s="36"/>
      <c r="K69" s="59">
        <f>K70*0.91</f>
        <v>6171.1467999999995</v>
      </c>
      <c r="L69" s="68">
        <f>J69*K69</f>
        <v>0</v>
      </c>
      <c r="N69" s="168" t="s">
        <v>67</v>
      </c>
      <c r="O69" s="169">
        <v>6974.19</v>
      </c>
      <c r="P69" s="277">
        <v>177</v>
      </c>
    </row>
    <row r="70" spans="5:16" ht="12.75">
      <c r="E70" s="67" t="s">
        <v>458</v>
      </c>
      <c r="F70" s="36"/>
      <c r="G70" s="59">
        <f>INDEX(kkkpo,MATCH(F66,kuntanimi,0),1,1)</f>
        <v>5865.74</v>
      </c>
      <c r="H70" s="68">
        <f>F70*G70</f>
        <v>0</v>
      </c>
      <c r="I70" s="67" t="s">
        <v>458</v>
      </c>
      <c r="J70" s="36"/>
      <c r="K70" s="59">
        <f>INDEX(kkkpo,MATCH(J66,kuntanimi,0),1,1)</f>
        <v>6781.48</v>
      </c>
      <c r="L70" s="68">
        <f>J70*K70</f>
        <v>0</v>
      </c>
      <c r="N70" s="168" t="s">
        <v>68</v>
      </c>
      <c r="O70" s="169">
        <v>7167.5</v>
      </c>
      <c r="P70" s="277">
        <v>178</v>
      </c>
    </row>
    <row r="71" spans="5:16" ht="12.75">
      <c r="E71" s="62" t="s">
        <v>459</v>
      </c>
      <c r="F71" s="36"/>
      <c r="G71" s="59">
        <f>G70*1.35</f>
        <v>7918.749</v>
      </c>
      <c r="H71" s="68">
        <f>F71*G71</f>
        <v>0</v>
      </c>
      <c r="I71" s="62" t="s">
        <v>459</v>
      </c>
      <c r="J71" s="36"/>
      <c r="K71" s="59">
        <f>K70*1.35</f>
        <v>9154.998</v>
      </c>
      <c r="L71" s="68">
        <f>J71*K71</f>
        <v>0</v>
      </c>
      <c r="N71" s="168" t="s">
        <v>69</v>
      </c>
      <c r="O71" s="169">
        <v>5897.85</v>
      </c>
      <c r="P71" s="277">
        <v>179</v>
      </c>
    </row>
    <row r="72" spans="5:16" ht="12.75">
      <c r="E72" s="69" t="s">
        <v>619</v>
      </c>
      <c r="F72" s="70"/>
      <c r="G72" s="71"/>
      <c r="H72" s="72">
        <f>SUM(H69:H71)</f>
        <v>0</v>
      </c>
      <c r="I72" s="69" t="s">
        <v>619</v>
      </c>
      <c r="J72" s="70"/>
      <c r="K72" s="71"/>
      <c r="L72" s="72">
        <f>SUM(L69:L71)</f>
        <v>0</v>
      </c>
      <c r="N72" s="168" t="s">
        <v>70</v>
      </c>
      <c r="O72" s="169">
        <v>6840.81</v>
      </c>
      <c r="P72" s="277">
        <v>181</v>
      </c>
    </row>
    <row r="73" spans="5:16" ht="12.75">
      <c r="E73" s="76" t="s">
        <v>541</v>
      </c>
      <c r="F73" s="356" t="s">
        <v>12</v>
      </c>
      <c r="G73" s="357"/>
      <c r="H73" s="61"/>
      <c r="I73" s="76" t="s">
        <v>541</v>
      </c>
      <c r="J73" s="356" t="s">
        <v>13</v>
      </c>
      <c r="K73" s="357"/>
      <c r="L73" s="61"/>
      <c r="N73" s="168" t="s">
        <v>71</v>
      </c>
      <c r="O73" s="169">
        <v>6560.41</v>
      </c>
      <c r="P73" s="277">
        <v>182</v>
      </c>
    </row>
    <row r="74" spans="5:16" ht="12.75">
      <c r="E74" s="62"/>
      <c r="F74" s="63"/>
      <c r="G74" s="63"/>
      <c r="H74" s="64"/>
      <c r="I74" s="62"/>
      <c r="J74" s="63"/>
      <c r="K74" s="63"/>
      <c r="L74" s="64"/>
      <c r="N74" s="170" t="s">
        <v>72</v>
      </c>
      <c r="O74" s="169">
        <v>5894.07</v>
      </c>
      <c r="P74" s="277">
        <v>186</v>
      </c>
    </row>
    <row r="75" spans="5:16" ht="12.75">
      <c r="E75" s="62"/>
      <c r="F75" s="65" t="s">
        <v>446</v>
      </c>
      <c r="G75" s="65" t="s">
        <v>538</v>
      </c>
      <c r="H75" s="66" t="s">
        <v>3</v>
      </c>
      <c r="I75" s="62"/>
      <c r="J75" s="65" t="s">
        <v>446</v>
      </c>
      <c r="K75" s="65" t="s">
        <v>538</v>
      </c>
      <c r="L75" s="66" t="s">
        <v>3</v>
      </c>
      <c r="N75" s="168" t="s">
        <v>73</v>
      </c>
      <c r="O75" s="169">
        <v>5918.05</v>
      </c>
      <c r="P75" s="277">
        <v>202</v>
      </c>
    </row>
    <row r="76" spans="5:16" ht="12.75">
      <c r="E76" s="67" t="s">
        <v>457</v>
      </c>
      <c r="F76" s="36"/>
      <c r="G76" s="59">
        <f>G77*0.91</f>
        <v>6130.4971000000005</v>
      </c>
      <c r="H76" s="68">
        <f>F76*G76</f>
        <v>0</v>
      </c>
      <c r="I76" s="67" t="s">
        <v>457</v>
      </c>
      <c r="J76" s="36"/>
      <c r="K76" s="59">
        <f>K77*0.91</f>
        <v>6102.8149</v>
      </c>
      <c r="L76" s="68">
        <f>J76*K76</f>
        <v>0</v>
      </c>
      <c r="N76" s="168" t="s">
        <v>74</v>
      </c>
      <c r="O76" s="169">
        <v>7250.6</v>
      </c>
      <c r="P76" s="277">
        <v>204</v>
      </c>
    </row>
    <row r="77" spans="5:16" ht="12.75">
      <c r="E77" s="67" t="s">
        <v>458</v>
      </c>
      <c r="F77" s="36"/>
      <c r="G77" s="59">
        <f>INDEX(kkkpo,MATCH(F73,kuntanimi,0),1,1)</f>
        <v>6736.81</v>
      </c>
      <c r="H77" s="68">
        <f>F77*G77</f>
        <v>0</v>
      </c>
      <c r="I77" s="67" t="s">
        <v>458</v>
      </c>
      <c r="J77" s="36"/>
      <c r="K77" s="59">
        <f>INDEX(kkkpo,MATCH(J73,kuntanimi,0),1,1)</f>
        <v>6706.39</v>
      </c>
      <c r="L77" s="68">
        <f>J77*K77</f>
        <v>0</v>
      </c>
      <c r="N77" s="168" t="s">
        <v>75</v>
      </c>
      <c r="O77" s="169">
        <v>6347.8</v>
      </c>
      <c r="P77" s="277">
        <v>205</v>
      </c>
    </row>
    <row r="78" spans="5:16" ht="12.75">
      <c r="E78" s="62" t="s">
        <v>459</v>
      </c>
      <c r="F78" s="36"/>
      <c r="G78" s="59">
        <f>G77*1.35</f>
        <v>9094.693500000001</v>
      </c>
      <c r="H78" s="68">
        <f>F78*G78</f>
        <v>0</v>
      </c>
      <c r="I78" s="62" t="s">
        <v>459</v>
      </c>
      <c r="J78" s="36"/>
      <c r="K78" s="59">
        <f>K77*1.35</f>
        <v>9053.6265</v>
      </c>
      <c r="L78" s="68">
        <f>J78*K78</f>
        <v>0</v>
      </c>
      <c r="N78" s="170" t="s">
        <v>76</v>
      </c>
      <c r="O78" s="169">
        <v>6593.98</v>
      </c>
      <c r="P78" s="277">
        <v>208</v>
      </c>
    </row>
    <row r="79" spans="5:16" ht="12.75">
      <c r="E79" s="69" t="s">
        <v>619</v>
      </c>
      <c r="F79" s="70"/>
      <c r="G79" s="71"/>
      <c r="H79" s="72">
        <f>SUM(H76:H78)</f>
        <v>0</v>
      </c>
      <c r="I79" s="69" t="s">
        <v>619</v>
      </c>
      <c r="J79" s="70"/>
      <c r="K79" s="71"/>
      <c r="L79" s="72">
        <f>SUM(L76:L78)</f>
        <v>0</v>
      </c>
      <c r="N79" s="168" t="s">
        <v>77</v>
      </c>
      <c r="O79" s="169">
        <v>5863.47</v>
      </c>
      <c r="P79" s="277">
        <v>211</v>
      </c>
    </row>
    <row r="80" spans="5:16" ht="12.75">
      <c r="E80" s="76" t="s">
        <v>541</v>
      </c>
      <c r="F80" s="356" t="s">
        <v>14</v>
      </c>
      <c r="G80" s="357"/>
      <c r="H80" s="61"/>
      <c r="I80" s="76" t="s">
        <v>541</v>
      </c>
      <c r="J80" s="356" t="s">
        <v>15</v>
      </c>
      <c r="K80" s="357"/>
      <c r="L80" s="61"/>
      <c r="N80" s="168" t="s">
        <v>78</v>
      </c>
      <c r="O80" s="169">
        <v>7195.54</v>
      </c>
      <c r="P80" s="277">
        <v>213</v>
      </c>
    </row>
    <row r="81" spans="5:16" ht="12.75">
      <c r="E81" s="62"/>
      <c r="F81" s="63"/>
      <c r="G81" s="63"/>
      <c r="H81" s="64"/>
      <c r="I81" s="62"/>
      <c r="J81" s="63"/>
      <c r="K81" s="63"/>
      <c r="L81" s="64"/>
      <c r="N81" s="168" t="s">
        <v>79</v>
      </c>
      <c r="O81" s="169">
        <v>6426.65</v>
      </c>
      <c r="P81" s="277">
        <v>214</v>
      </c>
    </row>
    <row r="82" spans="5:16" ht="12.75">
      <c r="E82" s="62"/>
      <c r="F82" s="65" t="s">
        <v>446</v>
      </c>
      <c r="G82" s="65" t="s">
        <v>538</v>
      </c>
      <c r="H82" s="66" t="s">
        <v>3</v>
      </c>
      <c r="I82" s="62"/>
      <c r="J82" s="65" t="s">
        <v>446</v>
      </c>
      <c r="K82" s="65" t="s">
        <v>538</v>
      </c>
      <c r="L82" s="66" t="s">
        <v>3</v>
      </c>
      <c r="N82" s="168" t="s">
        <v>80</v>
      </c>
      <c r="O82" s="169">
        <v>7658.27</v>
      </c>
      <c r="P82" s="277">
        <v>216</v>
      </c>
    </row>
    <row r="83" spans="5:16" ht="12.75">
      <c r="E83" s="67" t="s">
        <v>457</v>
      </c>
      <c r="F83" s="36"/>
      <c r="G83" s="59">
        <f>G84*0.91</f>
        <v>5933.2728</v>
      </c>
      <c r="H83" s="68">
        <f>F83*G83</f>
        <v>0</v>
      </c>
      <c r="I83" s="67" t="s">
        <v>457</v>
      </c>
      <c r="J83" s="36"/>
      <c r="K83" s="59">
        <f>K84*0.91</f>
        <v>5687.3544</v>
      </c>
      <c r="L83" s="68">
        <f>J83*K83</f>
        <v>0</v>
      </c>
      <c r="N83" s="168" t="s">
        <v>81</v>
      </c>
      <c r="O83" s="169">
        <v>6662.93</v>
      </c>
      <c r="P83" s="277">
        <v>217</v>
      </c>
    </row>
    <row r="84" spans="5:16" ht="12.75">
      <c r="E84" s="67" t="s">
        <v>458</v>
      </c>
      <c r="F84" s="36"/>
      <c r="G84" s="59">
        <f>INDEX(kkkpo,MATCH(F80,kuntanimi,0),1,1)</f>
        <v>6520.08</v>
      </c>
      <c r="H84" s="68">
        <f>F84*G84</f>
        <v>0</v>
      </c>
      <c r="I84" s="67" t="s">
        <v>458</v>
      </c>
      <c r="J84" s="36"/>
      <c r="K84" s="59">
        <f>INDEX(kkkpo,MATCH(J80,kuntanimi,0),1,1)</f>
        <v>6249.84</v>
      </c>
      <c r="L84" s="68">
        <f>J84*K84</f>
        <v>0</v>
      </c>
      <c r="N84" s="168" t="s">
        <v>82</v>
      </c>
      <c r="O84" s="169">
        <v>6960.44</v>
      </c>
      <c r="P84" s="277">
        <v>218</v>
      </c>
    </row>
    <row r="85" spans="5:16" ht="12.75">
      <c r="E85" s="62" t="s">
        <v>459</v>
      </c>
      <c r="F85" s="36"/>
      <c r="G85" s="59">
        <f>G84*1.35</f>
        <v>8802.108</v>
      </c>
      <c r="H85" s="68">
        <f>F85*G85</f>
        <v>0</v>
      </c>
      <c r="I85" s="62" t="s">
        <v>459</v>
      </c>
      <c r="J85" s="36"/>
      <c r="K85" s="59">
        <f>K84*1.35</f>
        <v>8437.284000000001</v>
      </c>
      <c r="L85" s="68">
        <f>J85*K85</f>
        <v>0</v>
      </c>
      <c r="N85" s="168" t="s">
        <v>83</v>
      </c>
      <c r="O85" s="169">
        <v>5943.26</v>
      </c>
      <c r="P85" s="277">
        <v>224</v>
      </c>
    </row>
    <row r="86" spans="5:16" ht="12.75">
      <c r="E86" s="69" t="s">
        <v>619</v>
      </c>
      <c r="F86" s="70"/>
      <c r="G86" s="71"/>
      <c r="H86" s="72">
        <f>SUM(H83:H85)</f>
        <v>0</v>
      </c>
      <c r="I86" s="69" t="s">
        <v>619</v>
      </c>
      <c r="J86" s="70"/>
      <c r="K86" s="71"/>
      <c r="L86" s="72">
        <f>SUM(L83:L85)</f>
        <v>0</v>
      </c>
      <c r="N86" s="168" t="s">
        <v>84</v>
      </c>
      <c r="O86" s="169">
        <v>7259.12</v>
      </c>
      <c r="P86" s="277">
        <v>226</v>
      </c>
    </row>
    <row r="87" spans="5:16" ht="12.75">
      <c r="E87" s="76" t="s">
        <v>541</v>
      </c>
      <c r="F87" s="356" t="s">
        <v>16</v>
      </c>
      <c r="G87" s="357"/>
      <c r="H87" s="61"/>
      <c r="I87" s="76" t="s">
        <v>541</v>
      </c>
      <c r="J87" s="356" t="s">
        <v>17</v>
      </c>
      <c r="K87" s="357"/>
      <c r="L87" s="61"/>
      <c r="N87" s="168" t="s">
        <v>85</v>
      </c>
      <c r="O87" s="169">
        <v>7275.31</v>
      </c>
      <c r="P87" s="277">
        <v>230</v>
      </c>
    </row>
    <row r="88" spans="5:16" ht="12.75">
      <c r="E88" s="62"/>
      <c r="F88" s="63"/>
      <c r="G88" s="63"/>
      <c r="H88" s="64"/>
      <c r="I88" s="62"/>
      <c r="J88" s="63"/>
      <c r="K88" s="63"/>
      <c r="L88" s="64"/>
      <c r="N88" s="168" t="s">
        <v>86</v>
      </c>
      <c r="O88" s="169">
        <v>6455.36</v>
      </c>
      <c r="P88" s="277">
        <v>231</v>
      </c>
    </row>
    <row r="89" spans="5:16" ht="12.75">
      <c r="E89" s="62"/>
      <c r="F89" s="65" t="s">
        <v>446</v>
      </c>
      <c r="G89" s="65" t="s">
        <v>538</v>
      </c>
      <c r="H89" s="66" t="s">
        <v>3</v>
      </c>
      <c r="I89" s="62"/>
      <c r="J89" s="65" t="s">
        <v>446</v>
      </c>
      <c r="K89" s="65" t="s">
        <v>538</v>
      </c>
      <c r="L89" s="66" t="s">
        <v>3</v>
      </c>
      <c r="N89" s="168" t="s">
        <v>87</v>
      </c>
      <c r="O89" s="169">
        <v>6736.19</v>
      </c>
      <c r="P89" s="277">
        <v>232</v>
      </c>
    </row>
    <row r="90" spans="5:16" ht="12.75">
      <c r="E90" s="67" t="s">
        <v>457</v>
      </c>
      <c r="F90" s="36"/>
      <c r="G90" s="59">
        <f>G91*0.91</f>
        <v>5356.733200000001</v>
      </c>
      <c r="H90" s="68">
        <f>F90*G90</f>
        <v>0</v>
      </c>
      <c r="I90" s="67" t="s">
        <v>457</v>
      </c>
      <c r="J90" s="36"/>
      <c r="K90" s="59">
        <f>K91*0.91</f>
        <v>6990.2924</v>
      </c>
      <c r="L90" s="68">
        <f>J90*K90</f>
        <v>0</v>
      </c>
      <c r="N90" s="168" t="s">
        <v>88</v>
      </c>
      <c r="O90" s="169">
        <v>6615.28</v>
      </c>
      <c r="P90" s="277">
        <v>233</v>
      </c>
    </row>
    <row r="91" spans="5:16" ht="12.75">
      <c r="E91" s="67" t="s">
        <v>458</v>
      </c>
      <c r="F91" s="36"/>
      <c r="G91" s="59">
        <f>INDEX(kkkpo,MATCH(F87,kuntanimi,0),1,1)</f>
        <v>5886.52</v>
      </c>
      <c r="H91" s="68">
        <f>F91*G91</f>
        <v>0</v>
      </c>
      <c r="I91" s="67" t="s">
        <v>458</v>
      </c>
      <c r="J91" s="36"/>
      <c r="K91" s="59">
        <f>INDEX(kkkpo,MATCH(J87,kuntanimi,0),1,1)</f>
        <v>7681.64</v>
      </c>
      <c r="L91" s="68">
        <f>J91*K91</f>
        <v>0</v>
      </c>
      <c r="N91" s="168" t="s">
        <v>89</v>
      </c>
      <c r="O91" s="169">
        <v>6546.47</v>
      </c>
      <c r="P91" s="277">
        <v>235</v>
      </c>
    </row>
    <row r="92" spans="5:16" ht="12.75">
      <c r="E92" s="62" t="s">
        <v>459</v>
      </c>
      <c r="F92" s="36"/>
      <c r="G92" s="59">
        <f>G91*1.35</f>
        <v>7946.8020000000015</v>
      </c>
      <c r="H92" s="68">
        <f>F92*G92</f>
        <v>0</v>
      </c>
      <c r="I92" s="62" t="s">
        <v>459</v>
      </c>
      <c r="J92" s="36"/>
      <c r="K92" s="59">
        <f>K91*1.35</f>
        <v>10370.214000000002</v>
      </c>
      <c r="L92" s="68">
        <f>J92*K92</f>
        <v>0</v>
      </c>
      <c r="N92" s="168" t="s">
        <v>90</v>
      </c>
      <c r="O92" s="169">
        <v>6686.87</v>
      </c>
      <c r="P92" s="277">
        <v>236</v>
      </c>
    </row>
    <row r="93" spans="5:16" ht="12.75">
      <c r="E93" s="69" t="s">
        <v>619</v>
      </c>
      <c r="F93" s="70"/>
      <c r="G93" s="71"/>
      <c r="H93" s="72">
        <f>SUM(H90:H92)</f>
        <v>0</v>
      </c>
      <c r="I93" s="69" t="s">
        <v>619</v>
      </c>
      <c r="J93" s="70"/>
      <c r="K93" s="71"/>
      <c r="L93" s="72">
        <f>SUM(L90:L92)</f>
        <v>0</v>
      </c>
      <c r="N93" s="168" t="s">
        <v>91</v>
      </c>
      <c r="O93" s="169">
        <v>7251</v>
      </c>
      <c r="P93" s="277">
        <v>239</v>
      </c>
    </row>
    <row r="94" spans="5:16" ht="12.75">
      <c r="E94" s="76" t="s">
        <v>541</v>
      </c>
      <c r="F94" s="356" t="s">
        <v>10</v>
      </c>
      <c r="G94" s="357"/>
      <c r="H94" s="61"/>
      <c r="I94" s="76" t="s">
        <v>541</v>
      </c>
      <c r="J94" s="356" t="s">
        <v>11</v>
      </c>
      <c r="K94" s="357"/>
      <c r="L94" s="61"/>
      <c r="N94" s="168" t="s">
        <v>92</v>
      </c>
      <c r="O94" s="169">
        <v>5910.13</v>
      </c>
      <c r="P94" s="277">
        <v>240</v>
      </c>
    </row>
    <row r="95" spans="5:16" ht="12.75">
      <c r="E95" s="62"/>
      <c r="F95" s="63"/>
      <c r="G95" s="63"/>
      <c r="H95" s="64"/>
      <c r="I95" s="62"/>
      <c r="J95" s="63"/>
      <c r="K95" s="63"/>
      <c r="L95" s="64"/>
      <c r="N95" s="168" t="s">
        <v>93</v>
      </c>
      <c r="O95" s="169">
        <v>8108.81</v>
      </c>
      <c r="P95" s="277">
        <v>320</v>
      </c>
    </row>
    <row r="96" spans="5:16" ht="12.75">
      <c r="E96" s="62"/>
      <c r="F96" s="65" t="s">
        <v>446</v>
      </c>
      <c r="G96" s="65" t="s">
        <v>538</v>
      </c>
      <c r="H96" s="66" t="s">
        <v>3</v>
      </c>
      <c r="I96" s="62"/>
      <c r="J96" s="65" t="s">
        <v>446</v>
      </c>
      <c r="K96" s="65" t="s">
        <v>538</v>
      </c>
      <c r="L96" s="66" t="s">
        <v>3</v>
      </c>
      <c r="N96" s="168" t="s">
        <v>94</v>
      </c>
      <c r="O96" s="169">
        <v>6583.5</v>
      </c>
      <c r="P96" s="277">
        <v>241</v>
      </c>
    </row>
    <row r="97" spans="5:16" ht="12.75">
      <c r="E97" s="67" t="s">
        <v>457</v>
      </c>
      <c r="F97" s="36"/>
      <c r="G97" s="59">
        <f>G98*0.91</f>
        <v>5337.8234</v>
      </c>
      <c r="H97" s="68">
        <f>F97*G97</f>
        <v>0</v>
      </c>
      <c r="I97" s="67" t="s">
        <v>457</v>
      </c>
      <c r="J97" s="36"/>
      <c r="K97" s="59">
        <f>K98*0.91</f>
        <v>6171.1467999999995</v>
      </c>
      <c r="L97" s="68">
        <f>J97*K97</f>
        <v>0</v>
      </c>
      <c r="N97" s="168" t="s">
        <v>95</v>
      </c>
      <c r="O97" s="169">
        <v>8042.62</v>
      </c>
      <c r="P97" s="277">
        <v>322</v>
      </c>
    </row>
    <row r="98" spans="5:16" ht="12.75">
      <c r="E98" s="67" t="s">
        <v>458</v>
      </c>
      <c r="F98" s="36"/>
      <c r="G98" s="59">
        <f>INDEX(kkkpo,MATCH(F94,kuntanimi,0),1,1)</f>
        <v>5865.74</v>
      </c>
      <c r="H98" s="68">
        <f>F98*G98</f>
        <v>0</v>
      </c>
      <c r="I98" s="67" t="s">
        <v>458</v>
      </c>
      <c r="J98" s="36"/>
      <c r="K98" s="59">
        <f>INDEX(kkkpo,MATCH(J94,kuntanimi,0),1,1)</f>
        <v>6781.48</v>
      </c>
      <c r="L98" s="68">
        <f>J98*K98</f>
        <v>0</v>
      </c>
      <c r="N98" s="168" t="s">
        <v>96</v>
      </c>
      <c r="O98" s="169">
        <v>5851.97</v>
      </c>
      <c r="P98" s="277">
        <v>244</v>
      </c>
    </row>
    <row r="99" spans="5:16" ht="12.75">
      <c r="E99" s="62" t="s">
        <v>459</v>
      </c>
      <c r="F99" s="36"/>
      <c r="G99" s="59">
        <f>G98*1.35</f>
        <v>7918.749</v>
      </c>
      <c r="H99" s="68">
        <f>F99*G99</f>
        <v>0</v>
      </c>
      <c r="I99" s="62" t="s">
        <v>459</v>
      </c>
      <c r="J99" s="36"/>
      <c r="K99" s="59">
        <f>K98*1.35</f>
        <v>9154.998</v>
      </c>
      <c r="L99" s="68">
        <f>J99*K99</f>
        <v>0</v>
      </c>
      <c r="N99" s="168" t="s">
        <v>97</v>
      </c>
      <c r="O99" s="169">
        <v>5942.82</v>
      </c>
      <c r="P99" s="277">
        <v>245</v>
      </c>
    </row>
    <row r="100" spans="5:16" ht="12.75">
      <c r="E100" s="69" t="s">
        <v>619</v>
      </c>
      <c r="F100" s="70"/>
      <c r="G100" s="71"/>
      <c r="H100" s="72">
        <f>SUM(H97:H99)</f>
        <v>0</v>
      </c>
      <c r="I100" s="69" t="s">
        <v>619</v>
      </c>
      <c r="J100" s="70"/>
      <c r="K100" s="71"/>
      <c r="L100" s="72">
        <f>SUM(L97:L99)</f>
        <v>0</v>
      </c>
      <c r="N100" s="168" t="s">
        <v>98</v>
      </c>
      <c r="O100" s="169">
        <v>6913.4</v>
      </c>
      <c r="P100" s="277">
        <v>249</v>
      </c>
    </row>
    <row r="101" spans="5:16" ht="12.75">
      <c r="E101" s="76" t="s">
        <v>541</v>
      </c>
      <c r="F101" s="356" t="s">
        <v>12</v>
      </c>
      <c r="G101" s="357"/>
      <c r="H101" s="61"/>
      <c r="I101" s="76" t="s">
        <v>541</v>
      </c>
      <c r="J101" s="356" t="s">
        <v>13</v>
      </c>
      <c r="K101" s="357"/>
      <c r="L101" s="61"/>
      <c r="N101" s="168" t="s">
        <v>99</v>
      </c>
      <c r="O101" s="169">
        <v>7128.83</v>
      </c>
      <c r="P101" s="277">
        <v>250</v>
      </c>
    </row>
    <row r="102" spans="5:16" ht="12.75">
      <c r="E102" s="62"/>
      <c r="F102" s="63"/>
      <c r="G102" s="63"/>
      <c r="H102" s="64"/>
      <c r="I102" s="62"/>
      <c r="J102" s="63"/>
      <c r="K102" s="63"/>
      <c r="L102" s="64"/>
      <c r="N102" s="168" t="s">
        <v>100</v>
      </c>
      <c r="O102" s="169">
        <v>7430.35</v>
      </c>
      <c r="P102" s="277">
        <v>256</v>
      </c>
    </row>
    <row r="103" spans="5:16" ht="12.75">
      <c r="E103" s="62"/>
      <c r="F103" s="65" t="s">
        <v>446</v>
      </c>
      <c r="G103" s="65" t="s">
        <v>538</v>
      </c>
      <c r="H103" s="66" t="s">
        <v>3</v>
      </c>
      <c r="I103" s="62"/>
      <c r="J103" s="65" t="s">
        <v>446</v>
      </c>
      <c r="K103" s="65" t="s">
        <v>538</v>
      </c>
      <c r="L103" s="66" t="s">
        <v>3</v>
      </c>
      <c r="N103" s="168" t="s">
        <v>101</v>
      </c>
      <c r="O103" s="169">
        <v>6302.36</v>
      </c>
      <c r="P103" s="277">
        <v>257</v>
      </c>
    </row>
    <row r="104" spans="5:16" ht="12.75">
      <c r="E104" s="67" t="s">
        <v>457</v>
      </c>
      <c r="F104" s="36"/>
      <c r="G104" s="59">
        <f>G105*0.91</f>
        <v>6130.4971000000005</v>
      </c>
      <c r="H104" s="68">
        <f>F104*G104</f>
        <v>0</v>
      </c>
      <c r="I104" s="67" t="s">
        <v>457</v>
      </c>
      <c r="J104" s="36"/>
      <c r="K104" s="59">
        <f>K105*0.91</f>
        <v>6102.8149</v>
      </c>
      <c r="L104" s="68">
        <f>J104*K104</f>
        <v>0</v>
      </c>
      <c r="N104" s="168" t="s">
        <v>102</v>
      </c>
      <c r="O104" s="169">
        <v>6884.71</v>
      </c>
      <c r="P104" s="277">
        <v>260</v>
      </c>
    </row>
    <row r="105" spans="5:16" ht="12.75">
      <c r="E105" s="67" t="s">
        <v>458</v>
      </c>
      <c r="F105" s="36"/>
      <c r="G105" s="59">
        <f>INDEX(kkkpo,MATCH(F101,kuntanimi,0),1,1)</f>
        <v>6736.81</v>
      </c>
      <c r="H105" s="68">
        <f>F105*G105</f>
        <v>0</v>
      </c>
      <c r="I105" s="67" t="s">
        <v>458</v>
      </c>
      <c r="J105" s="36"/>
      <c r="K105" s="59">
        <f>INDEX(kkkpo,MATCH(J101,kuntanimi,0),1,1)</f>
        <v>6706.39</v>
      </c>
      <c r="L105" s="68">
        <f>J105*K105</f>
        <v>0</v>
      </c>
      <c r="N105" s="168" t="s">
        <v>103</v>
      </c>
      <c r="O105" s="169">
        <v>8982.96</v>
      </c>
      <c r="P105" s="277">
        <v>261</v>
      </c>
    </row>
    <row r="106" spans="5:16" ht="12.75">
      <c r="E106" s="62" t="s">
        <v>459</v>
      </c>
      <c r="F106" s="36"/>
      <c r="G106" s="59">
        <f>G105*1.35</f>
        <v>9094.693500000001</v>
      </c>
      <c r="H106" s="68">
        <f>F106*G106</f>
        <v>0</v>
      </c>
      <c r="I106" s="62" t="s">
        <v>459</v>
      </c>
      <c r="J106" s="36"/>
      <c r="K106" s="59">
        <f>K105*1.35</f>
        <v>9053.6265</v>
      </c>
      <c r="L106" s="68">
        <f>J106*K106</f>
        <v>0</v>
      </c>
      <c r="N106" s="168" t="s">
        <v>104</v>
      </c>
      <c r="O106" s="169">
        <v>7047.87</v>
      </c>
      <c r="P106" s="277">
        <v>263</v>
      </c>
    </row>
    <row r="107" spans="5:16" ht="12.75">
      <c r="E107" s="69" t="s">
        <v>619</v>
      </c>
      <c r="F107" s="70"/>
      <c r="G107" s="71"/>
      <c r="H107" s="72">
        <f>SUM(H104:H106)</f>
        <v>0</v>
      </c>
      <c r="I107" s="69" t="s">
        <v>619</v>
      </c>
      <c r="J107" s="70"/>
      <c r="K107" s="71"/>
      <c r="L107" s="72">
        <f>SUM(L104:L106)</f>
        <v>0</v>
      </c>
      <c r="N107" s="168" t="s">
        <v>105</v>
      </c>
      <c r="O107" s="169">
        <v>7943.58</v>
      </c>
      <c r="P107" s="277">
        <v>265</v>
      </c>
    </row>
    <row r="108" spans="5:16" ht="12.75">
      <c r="E108" s="76" t="s">
        <v>541</v>
      </c>
      <c r="F108" s="356" t="s">
        <v>14</v>
      </c>
      <c r="G108" s="357"/>
      <c r="H108" s="61"/>
      <c r="I108" s="76" t="s">
        <v>541</v>
      </c>
      <c r="J108" s="356" t="s">
        <v>15</v>
      </c>
      <c r="K108" s="357"/>
      <c r="L108" s="61"/>
      <c r="N108" s="168" t="s">
        <v>106</v>
      </c>
      <c r="O108" s="169">
        <v>6475.49</v>
      </c>
      <c r="P108" s="277">
        <v>271</v>
      </c>
    </row>
    <row r="109" spans="5:16" ht="12.75">
      <c r="E109" s="62"/>
      <c r="F109" s="63"/>
      <c r="G109" s="63"/>
      <c r="H109" s="64"/>
      <c r="I109" s="62"/>
      <c r="J109" s="63"/>
      <c r="K109" s="63"/>
      <c r="L109" s="64"/>
      <c r="N109" s="168" t="s">
        <v>107</v>
      </c>
      <c r="O109" s="169">
        <v>6411.09</v>
      </c>
      <c r="P109" s="277">
        <v>272</v>
      </c>
    </row>
    <row r="110" spans="5:16" ht="12.75">
      <c r="E110" s="62"/>
      <c r="F110" s="65" t="s">
        <v>446</v>
      </c>
      <c r="G110" s="65" t="s">
        <v>538</v>
      </c>
      <c r="H110" s="66" t="s">
        <v>3</v>
      </c>
      <c r="I110" s="62"/>
      <c r="J110" s="65" t="s">
        <v>446</v>
      </c>
      <c r="K110" s="65" t="s">
        <v>538</v>
      </c>
      <c r="L110" s="66" t="s">
        <v>3</v>
      </c>
      <c r="N110" s="168" t="s">
        <v>108</v>
      </c>
      <c r="O110" s="169">
        <v>8483.24</v>
      </c>
      <c r="P110" s="277">
        <v>273</v>
      </c>
    </row>
    <row r="111" spans="5:16" ht="12.75">
      <c r="E111" s="67" t="s">
        <v>457</v>
      </c>
      <c r="F111" s="36"/>
      <c r="G111" s="59">
        <f>G112*0.91</f>
        <v>5933.2728</v>
      </c>
      <c r="H111" s="68">
        <f>F111*G111</f>
        <v>0</v>
      </c>
      <c r="I111" s="67" t="s">
        <v>457</v>
      </c>
      <c r="J111" s="36"/>
      <c r="K111" s="59">
        <f>K112*0.91</f>
        <v>5687.3544</v>
      </c>
      <c r="L111" s="68">
        <f>J111*K111</f>
        <v>0</v>
      </c>
      <c r="N111" s="168" t="s">
        <v>109</v>
      </c>
      <c r="O111" s="169">
        <v>7182.19</v>
      </c>
      <c r="P111" s="277">
        <v>275</v>
      </c>
    </row>
    <row r="112" spans="5:16" ht="12.75">
      <c r="E112" s="67" t="s">
        <v>458</v>
      </c>
      <c r="F112" s="36"/>
      <c r="G112" s="59">
        <f>INDEX(kkkpo,MATCH(F108,kuntanimi,0),1,1)</f>
        <v>6520.08</v>
      </c>
      <c r="H112" s="68">
        <f>F112*G112</f>
        <v>0</v>
      </c>
      <c r="I112" s="67" t="s">
        <v>458</v>
      </c>
      <c r="J112" s="36"/>
      <c r="K112" s="59">
        <f>INDEX(kkkpo,MATCH(J108,kuntanimi,0),1,1)</f>
        <v>6249.84</v>
      </c>
      <c r="L112" s="68">
        <f>J112*K112</f>
        <v>0</v>
      </c>
      <c r="N112" s="168" t="s">
        <v>110</v>
      </c>
      <c r="O112" s="169">
        <v>6444.15</v>
      </c>
      <c r="P112" s="277">
        <v>276</v>
      </c>
    </row>
    <row r="113" spans="5:16" ht="12.75">
      <c r="E113" s="62" t="s">
        <v>459</v>
      </c>
      <c r="F113" s="36"/>
      <c r="G113" s="59">
        <f>G112*1.35</f>
        <v>8802.108</v>
      </c>
      <c r="H113" s="68">
        <f>F113*G113</f>
        <v>0</v>
      </c>
      <c r="I113" s="62" t="s">
        <v>459</v>
      </c>
      <c r="J113" s="36"/>
      <c r="K113" s="59">
        <f>K112*1.35</f>
        <v>8437.284000000001</v>
      </c>
      <c r="L113" s="68">
        <f>J113*K113</f>
        <v>0</v>
      </c>
      <c r="N113" s="168" t="s">
        <v>111</v>
      </c>
      <c r="O113" s="169">
        <v>7671.89</v>
      </c>
      <c r="P113" s="277">
        <v>280</v>
      </c>
    </row>
    <row r="114" spans="5:16" ht="12.75">
      <c r="E114" s="69" t="s">
        <v>619</v>
      </c>
      <c r="F114" s="70"/>
      <c r="G114" s="71"/>
      <c r="H114" s="72">
        <f>SUM(H111:H113)</f>
        <v>0</v>
      </c>
      <c r="I114" s="69" t="s">
        <v>619</v>
      </c>
      <c r="J114" s="70"/>
      <c r="K114" s="71"/>
      <c r="L114" s="72">
        <f>SUM(L111:L113)</f>
        <v>0</v>
      </c>
      <c r="N114" s="168" t="s">
        <v>112</v>
      </c>
      <c r="O114" s="169">
        <v>6687.69</v>
      </c>
      <c r="P114" s="277">
        <v>284</v>
      </c>
    </row>
    <row r="115" spans="5:16" ht="12.75">
      <c r="E115" s="76" t="s">
        <v>541</v>
      </c>
      <c r="F115" s="356" t="s">
        <v>16</v>
      </c>
      <c r="G115" s="357"/>
      <c r="H115" s="61"/>
      <c r="I115" s="76" t="s">
        <v>541</v>
      </c>
      <c r="J115" s="356" t="s">
        <v>17</v>
      </c>
      <c r="K115" s="357"/>
      <c r="L115" s="61"/>
      <c r="N115" s="168" t="s">
        <v>113</v>
      </c>
      <c r="O115" s="169">
        <v>5967.92</v>
      </c>
      <c r="P115" s="277">
        <v>285</v>
      </c>
    </row>
    <row r="116" spans="5:16" ht="12.75">
      <c r="E116" s="62"/>
      <c r="F116" s="63"/>
      <c r="G116" s="63"/>
      <c r="H116" s="64"/>
      <c r="I116" s="62"/>
      <c r="J116" s="63"/>
      <c r="K116" s="63"/>
      <c r="L116" s="64"/>
      <c r="N116" s="168" t="s">
        <v>114</v>
      </c>
      <c r="O116" s="169">
        <v>5999.46</v>
      </c>
      <c r="P116" s="277">
        <v>286</v>
      </c>
    </row>
    <row r="117" spans="5:16" ht="12.75">
      <c r="E117" s="62"/>
      <c r="F117" s="65" t="s">
        <v>446</v>
      </c>
      <c r="G117" s="65" t="s">
        <v>538</v>
      </c>
      <c r="H117" s="66" t="s">
        <v>3</v>
      </c>
      <c r="I117" s="62"/>
      <c r="J117" s="65" t="s">
        <v>446</v>
      </c>
      <c r="K117" s="65" t="s">
        <v>538</v>
      </c>
      <c r="L117" s="66" t="s">
        <v>3</v>
      </c>
      <c r="N117" s="168" t="s">
        <v>115</v>
      </c>
      <c r="O117" s="169">
        <v>7534.35</v>
      </c>
      <c r="P117" s="277">
        <v>287</v>
      </c>
    </row>
    <row r="118" spans="5:16" ht="12.75">
      <c r="E118" s="67" t="s">
        <v>457</v>
      </c>
      <c r="F118" s="36"/>
      <c r="G118" s="59">
        <f>G119*0.91</f>
        <v>5356.733200000001</v>
      </c>
      <c r="H118" s="68">
        <f>F118*G118</f>
        <v>0</v>
      </c>
      <c r="I118" s="67" t="s">
        <v>457</v>
      </c>
      <c r="J118" s="36"/>
      <c r="K118" s="59">
        <f>K119*0.91</f>
        <v>6990.2924</v>
      </c>
      <c r="L118" s="68">
        <f>J118*K118</f>
        <v>0</v>
      </c>
      <c r="N118" s="168" t="s">
        <v>116</v>
      </c>
      <c r="O118" s="169">
        <v>7822.17</v>
      </c>
      <c r="P118" s="277">
        <v>288</v>
      </c>
    </row>
    <row r="119" spans="5:16" ht="12.75">
      <c r="E119" s="67" t="s">
        <v>458</v>
      </c>
      <c r="F119" s="36"/>
      <c r="G119" s="59">
        <f>INDEX(kkkpo,MATCH(F115,kuntanimi,0),1,1)</f>
        <v>5886.52</v>
      </c>
      <c r="H119" s="68">
        <f>F119*G119</f>
        <v>0</v>
      </c>
      <c r="I119" s="67" t="s">
        <v>458</v>
      </c>
      <c r="J119" s="36"/>
      <c r="K119" s="59">
        <f>INDEX(kkkpo,MATCH(J115,kuntanimi,0),1,1)</f>
        <v>7681.64</v>
      </c>
      <c r="L119" s="68">
        <f>J119*K119</f>
        <v>0</v>
      </c>
      <c r="N119" s="168" t="s">
        <v>117</v>
      </c>
      <c r="O119" s="169">
        <v>8260.57</v>
      </c>
      <c r="P119" s="277">
        <v>290</v>
      </c>
    </row>
    <row r="120" spans="5:16" ht="12.75">
      <c r="E120" s="62" t="s">
        <v>459</v>
      </c>
      <c r="F120" s="36"/>
      <c r="G120" s="59">
        <f>G119*1.35</f>
        <v>7946.8020000000015</v>
      </c>
      <c r="H120" s="68">
        <f>F120*G120</f>
        <v>0</v>
      </c>
      <c r="I120" s="62" t="s">
        <v>459</v>
      </c>
      <c r="J120" s="36"/>
      <c r="K120" s="59">
        <f>K119*1.35</f>
        <v>10370.214000000002</v>
      </c>
      <c r="L120" s="68">
        <f>J120*K120</f>
        <v>0</v>
      </c>
      <c r="N120" s="168" t="s">
        <v>118</v>
      </c>
      <c r="O120" s="169">
        <v>7515.9</v>
      </c>
      <c r="P120" s="277">
        <v>291</v>
      </c>
    </row>
    <row r="121" spans="5:16" ht="12.75">
      <c r="E121" s="69" t="s">
        <v>619</v>
      </c>
      <c r="F121" s="70"/>
      <c r="G121" s="71"/>
      <c r="H121" s="72">
        <f>SUM(H118:H120)</f>
        <v>0</v>
      </c>
      <c r="I121" s="69" t="s">
        <v>619</v>
      </c>
      <c r="J121" s="70"/>
      <c r="K121" s="71"/>
      <c r="L121" s="72">
        <f>SUM(L118:L120)</f>
        <v>0</v>
      </c>
      <c r="N121" s="168" t="s">
        <v>119</v>
      </c>
      <c r="O121" s="169">
        <v>5889.13</v>
      </c>
      <c r="P121" s="277">
        <v>297</v>
      </c>
    </row>
    <row r="122" spans="5:16" ht="12.75">
      <c r="E122" s="76" t="s">
        <v>541</v>
      </c>
      <c r="F122" s="356" t="s">
        <v>18</v>
      </c>
      <c r="G122" s="357"/>
      <c r="H122" s="61"/>
      <c r="I122" s="76" t="s">
        <v>541</v>
      </c>
      <c r="J122" s="356" t="s">
        <v>19</v>
      </c>
      <c r="K122" s="357"/>
      <c r="L122" s="61"/>
      <c r="N122" s="168" t="s">
        <v>120</v>
      </c>
      <c r="O122" s="169">
        <v>6918.95</v>
      </c>
      <c r="P122" s="277">
        <v>300</v>
      </c>
    </row>
    <row r="123" spans="5:16" ht="12.75">
      <c r="E123" s="62"/>
      <c r="F123" s="63"/>
      <c r="G123" s="63"/>
      <c r="H123" s="64"/>
      <c r="I123" s="62"/>
      <c r="J123" s="63"/>
      <c r="K123" s="63"/>
      <c r="L123" s="64"/>
      <c r="N123" s="168" t="s">
        <v>121</v>
      </c>
      <c r="O123" s="169">
        <v>6485.91</v>
      </c>
      <c r="P123" s="277">
        <v>301</v>
      </c>
    </row>
    <row r="124" spans="5:16" ht="12.75">
      <c r="E124" s="62"/>
      <c r="F124" s="65" t="s">
        <v>446</v>
      </c>
      <c r="G124" s="65" t="s">
        <v>538</v>
      </c>
      <c r="H124" s="66" t="s">
        <v>3</v>
      </c>
      <c r="I124" s="62"/>
      <c r="J124" s="65" t="s">
        <v>446</v>
      </c>
      <c r="K124" s="65" t="s">
        <v>538</v>
      </c>
      <c r="L124" s="66" t="s">
        <v>3</v>
      </c>
      <c r="N124" s="168" t="s">
        <v>122</v>
      </c>
      <c r="O124" s="169">
        <v>7597.59</v>
      </c>
      <c r="P124" s="277">
        <v>304</v>
      </c>
    </row>
    <row r="125" spans="5:16" ht="12.75">
      <c r="E125" s="67" t="s">
        <v>457</v>
      </c>
      <c r="F125" s="36"/>
      <c r="G125" s="59">
        <f>G126*0.91</f>
        <v>8982.883</v>
      </c>
      <c r="H125" s="68">
        <f>F125*G125</f>
        <v>0</v>
      </c>
      <c r="I125" s="67" t="s">
        <v>457</v>
      </c>
      <c r="J125" s="36"/>
      <c r="K125" s="59">
        <f>K126*0.91</f>
        <v>5753.2475</v>
      </c>
      <c r="L125" s="68">
        <f>J125*K125</f>
        <v>0</v>
      </c>
      <c r="N125" s="168" t="s">
        <v>123</v>
      </c>
      <c r="O125" s="169">
        <v>7739.95</v>
      </c>
      <c r="P125" s="277">
        <v>305</v>
      </c>
    </row>
    <row r="126" spans="5:16" ht="12.75">
      <c r="E126" s="67" t="s">
        <v>458</v>
      </c>
      <c r="F126" s="36"/>
      <c r="G126" s="59">
        <f>INDEX(kkkpo,MATCH(F122,kuntanimi,0),1,1)</f>
        <v>9871.3</v>
      </c>
      <c r="H126" s="68">
        <f>F126*G126</f>
        <v>0</v>
      </c>
      <c r="I126" s="67" t="s">
        <v>458</v>
      </c>
      <c r="J126" s="36"/>
      <c r="K126" s="59">
        <f>INDEX(kkkpo,MATCH(J122,kuntanimi,0),1,1)</f>
        <v>6322.25</v>
      </c>
      <c r="L126" s="68">
        <f>J126*K126</f>
        <v>0</v>
      </c>
      <c r="N126" s="168" t="s">
        <v>124</v>
      </c>
      <c r="O126" s="169">
        <v>7718.84</v>
      </c>
      <c r="P126" s="277">
        <v>312</v>
      </c>
    </row>
    <row r="127" spans="5:16" ht="12.75">
      <c r="E127" s="62" t="s">
        <v>459</v>
      </c>
      <c r="F127" s="36"/>
      <c r="G127" s="59">
        <f>G126*1.35</f>
        <v>13326.255</v>
      </c>
      <c r="H127" s="68">
        <f>F127*G127</f>
        <v>0</v>
      </c>
      <c r="I127" s="62" t="s">
        <v>459</v>
      </c>
      <c r="J127" s="36"/>
      <c r="K127" s="59">
        <f>K126*1.35</f>
        <v>8535.0375</v>
      </c>
      <c r="L127" s="68">
        <f>J127*K127</f>
        <v>0</v>
      </c>
      <c r="N127" s="168" t="s">
        <v>125</v>
      </c>
      <c r="O127" s="169">
        <v>6404.36</v>
      </c>
      <c r="P127" s="277">
        <v>316</v>
      </c>
    </row>
    <row r="128" spans="5:16" ht="12.75">
      <c r="E128" s="69" t="s">
        <v>619</v>
      </c>
      <c r="F128" s="70"/>
      <c r="G128" s="71"/>
      <c r="H128" s="72">
        <f>SUM(H125:H127)</f>
        <v>0</v>
      </c>
      <c r="I128" s="69" t="s">
        <v>619</v>
      </c>
      <c r="J128" s="70"/>
      <c r="K128" s="71"/>
      <c r="L128" s="72">
        <f>SUM(L125:L127)</f>
        <v>0</v>
      </c>
      <c r="N128" s="168" t="s">
        <v>126</v>
      </c>
      <c r="O128" s="169">
        <v>7413.79</v>
      </c>
      <c r="P128" s="277">
        <v>317</v>
      </c>
    </row>
    <row r="129" spans="5:16" ht="12.75">
      <c r="E129" s="76" t="s">
        <v>541</v>
      </c>
      <c r="F129" s="356" t="s">
        <v>20</v>
      </c>
      <c r="G129" s="357"/>
      <c r="H129" s="61"/>
      <c r="I129" s="76" t="s">
        <v>541</v>
      </c>
      <c r="J129" s="356" t="s">
        <v>112</v>
      </c>
      <c r="K129" s="357"/>
      <c r="L129" s="61"/>
      <c r="N129" s="168" t="s">
        <v>127</v>
      </c>
      <c r="O129" s="169">
        <v>6702.36</v>
      </c>
      <c r="P129" s="277">
        <v>319</v>
      </c>
    </row>
    <row r="130" spans="5:16" ht="12.75">
      <c r="E130" s="62"/>
      <c r="F130" s="63"/>
      <c r="G130" s="63"/>
      <c r="H130" s="64"/>
      <c r="I130" s="62"/>
      <c r="J130" s="63"/>
      <c r="K130" s="63"/>
      <c r="L130" s="64"/>
      <c r="N130" s="168" t="s">
        <v>128</v>
      </c>
      <c r="O130" s="169">
        <v>5929.75</v>
      </c>
      <c r="P130" s="277">
        <v>398</v>
      </c>
    </row>
    <row r="131" spans="5:16" ht="12.75">
      <c r="E131" s="62"/>
      <c r="F131" s="65" t="s">
        <v>446</v>
      </c>
      <c r="G131" s="65" t="s">
        <v>538</v>
      </c>
      <c r="H131" s="66" t="s">
        <v>3</v>
      </c>
      <c r="I131" s="62"/>
      <c r="J131" s="65" t="s">
        <v>446</v>
      </c>
      <c r="K131" s="65" t="s">
        <v>538</v>
      </c>
      <c r="L131" s="66" t="s">
        <v>3</v>
      </c>
      <c r="N131" s="168" t="s">
        <v>129</v>
      </c>
      <c r="O131" s="169">
        <v>6505.07</v>
      </c>
      <c r="P131" s="277">
        <v>399</v>
      </c>
    </row>
    <row r="132" spans="5:16" ht="12.75">
      <c r="E132" s="67" t="s">
        <v>457</v>
      </c>
      <c r="F132" s="36"/>
      <c r="G132" s="59">
        <f>G133*0.91</f>
        <v>5722.1528</v>
      </c>
      <c r="H132" s="68">
        <f>F132*G132</f>
        <v>0</v>
      </c>
      <c r="I132" s="67" t="s">
        <v>457</v>
      </c>
      <c r="J132" s="36"/>
      <c r="K132" s="59">
        <f>K133*0.91</f>
        <v>6085.7979</v>
      </c>
      <c r="L132" s="68">
        <f>J132*K132</f>
        <v>0</v>
      </c>
      <c r="N132" s="168" t="s">
        <v>130</v>
      </c>
      <c r="O132" s="169">
        <v>6519.27</v>
      </c>
      <c r="P132" s="277">
        <v>400</v>
      </c>
    </row>
    <row r="133" spans="5:16" ht="12.75">
      <c r="E133" s="67" t="s">
        <v>458</v>
      </c>
      <c r="F133" s="36"/>
      <c r="G133" s="59">
        <f>INDEX(kkkpo,MATCH(F129,kuntanimi,0),1,1)</f>
        <v>6288.08</v>
      </c>
      <c r="H133" s="68">
        <f>F133*G133</f>
        <v>0</v>
      </c>
      <c r="I133" s="67" t="s">
        <v>458</v>
      </c>
      <c r="J133" s="36"/>
      <c r="K133" s="59">
        <f>INDEX(kkkpo,MATCH(J129,kuntanimi,0),1,1)</f>
        <v>6687.69</v>
      </c>
      <c r="L133" s="68">
        <f>J133*K133</f>
        <v>0</v>
      </c>
      <c r="N133" s="168" t="s">
        <v>131</v>
      </c>
      <c r="O133" s="169">
        <v>7445.51</v>
      </c>
      <c r="P133" s="277">
        <v>407</v>
      </c>
    </row>
    <row r="134" spans="5:16" ht="12.75">
      <c r="E134" s="62" t="s">
        <v>459</v>
      </c>
      <c r="F134" s="36"/>
      <c r="G134" s="59">
        <f>G133*1.35</f>
        <v>8488.908000000001</v>
      </c>
      <c r="H134" s="68">
        <f>F134*G134</f>
        <v>0</v>
      </c>
      <c r="I134" s="62" t="s">
        <v>459</v>
      </c>
      <c r="J134" s="36"/>
      <c r="K134" s="59">
        <f>K133*1.35</f>
        <v>9028.3815</v>
      </c>
      <c r="L134" s="68">
        <f>J134*K134</f>
        <v>0</v>
      </c>
      <c r="N134" s="168" t="s">
        <v>132</v>
      </c>
      <c r="O134" s="169">
        <v>6843.8</v>
      </c>
      <c r="P134" s="277">
        <v>402</v>
      </c>
    </row>
    <row r="135" spans="5:16" ht="12.75">
      <c r="E135" s="69" t="s">
        <v>619</v>
      </c>
      <c r="F135" s="70"/>
      <c r="G135" s="71"/>
      <c r="H135" s="72">
        <f>SUM(H132:H134)</f>
        <v>0</v>
      </c>
      <c r="I135" s="69" t="s">
        <v>619</v>
      </c>
      <c r="J135" s="70"/>
      <c r="K135" s="71"/>
      <c r="L135" s="72">
        <f>SUM(L132:L134)</f>
        <v>0</v>
      </c>
      <c r="N135" s="168" t="s">
        <v>133</v>
      </c>
      <c r="O135" s="169">
        <v>6924.65</v>
      </c>
      <c r="P135" s="277">
        <v>403</v>
      </c>
    </row>
    <row r="136" spans="5:16" ht="12.75">
      <c r="E136" s="76" t="s">
        <v>541</v>
      </c>
      <c r="F136" s="356" t="s">
        <v>10</v>
      </c>
      <c r="G136" s="357"/>
      <c r="H136" s="61"/>
      <c r="I136" s="76" t="s">
        <v>541</v>
      </c>
      <c r="J136" s="356" t="s">
        <v>11</v>
      </c>
      <c r="K136" s="357"/>
      <c r="L136" s="61"/>
      <c r="N136" s="168" t="s">
        <v>134</v>
      </c>
      <c r="O136" s="169">
        <v>5917.13</v>
      </c>
      <c r="P136" s="277">
        <v>405</v>
      </c>
    </row>
    <row r="137" spans="5:16" ht="12.75">
      <c r="E137" s="62"/>
      <c r="F137" s="63"/>
      <c r="G137" s="63"/>
      <c r="H137" s="64"/>
      <c r="I137" s="62"/>
      <c r="J137" s="63"/>
      <c r="K137" s="63"/>
      <c r="L137" s="64"/>
      <c r="N137" s="168" t="s">
        <v>135</v>
      </c>
      <c r="O137" s="169">
        <v>6343.42</v>
      </c>
      <c r="P137" s="277">
        <v>408</v>
      </c>
    </row>
    <row r="138" spans="5:16" ht="12.75">
      <c r="E138" s="62"/>
      <c r="F138" s="65" t="s">
        <v>446</v>
      </c>
      <c r="G138" s="65" t="s">
        <v>538</v>
      </c>
      <c r="H138" s="66" t="s">
        <v>3</v>
      </c>
      <c r="I138" s="62"/>
      <c r="J138" s="65" t="s">
        <v>446</v>
      </c>
      <c r="K138" s="65" t="s">
        <v>538</v>
      </c>
      <c r="L138" s="66" t="s">
        <v>3</v>
      </c>
      <c r="N138" s="168" t="s">
        <v>136</v>
      </c>
      <c r="O138" s="169">
        <v>6095.65</v>
      </c>
      <c r="P138" s="277">
        <v>410</v>
      </c>
    </row>
    <row r="139" spans="5:16" ht="12.75">
      <c r="E139" s="67" t="s">
        <v>457</v>
      </c>
      <c r="F139" s="36"/>
      <c r="G139" s="59">
        <f>G140*0.91</f>
        <v>5337.8234</v>
      </c>
      <c r="H139" s="68">
        <f>F139*G139</f>
        <v>0</v>
      </c>
      <c r="I139" s="67" t="s">
        <v>457</v>
      </c>
      <c r="J139" s="36"/>
      <c r="K139" s="59">
        <f>K140*0.91</f>
        <v>6171.1467999999995</v>
      </c>
      <c r="L139" s="68">
        <f>J139*K139</f>
        <v>0</v>
      </c>
      <c r="N139" s="168" t="s">
        <v>137</v>
      </c>
      <c r="O139" s="169">
        <v>7126.88</v>
      </c>
      <c r="P139" s="277">
        <v>413</v>
      </c>
    </row>
    <row r="140" spans="5:16" ht="12.75">
      <c r="E140" s="67" t="s">
        <v>458</v>
      </c>
      <c r="F140" s="36"/>
      <c r="G140" s="59">
        <f>INDEX(kkkpo,MATCH(F136,kuntanimi,0),1,1)</f>
        <v>5865.74</v>
      </c>
      <c r="H140" s="68">
        <f>F140*G140</f>
        <v>0</v>
      </c>
      <c r="I140" s="67" t="s">
        <v>458</v>
      </c>
      <c r="J140" s="36"/>
      <c r="K140" s="59">
        <f>INDEX(kkkpo,MATCH(J136,kuntanimi,0),1,1)</f>
        <v>6781.48</v>
      </c>
      <c r="L140" s="68">
        <f>J140*K140</f>
        <v>0</v>
      </c>
      <c r="N140" s="168" t="s">
        <v>138</v>
      </c>
      <c r="O140" s="169">
        <v>6592.07</v>
      </c>
      <c r="P140" s="277">
        <v>416</v>
      </c>
    </row>
    <row r="141" spans="5:16" ht="12.75">
      <c r="E141" s="62" t="s">
        <v>459</v>
      </c>
      <c r="F141" s="36"/>
      <c r="G141" s="59">
        <f>G140*1.35</f>
        <v>7918.749</v>
      </c>
      <c r="H141" s="68">
        <f>F141*G141</f>
        <v>0</v>
      </c>
      <c r="I141" s="62" t="s">
        <v>459</v>
      </c>
      <c r="J141" s="36"/>
      <c r="K141" s="59">
        <f>K140*1.35</f>
        <v>9154.998</v>
      </c>
      <c r="L141" s="68">
        <f>J141*K141</f>
        <v>0</v>
      </c>
      <c r="N141" s="168" t="s">
        <v>139</v>
      </c>
      <c r="O141" s="169">
        <v>5868.33</v>
      </c>
      <c r="P141" s="277">
        <v>418</v>
      </c>
    </row>
    <row r="142" spans="5:16" ht="12.75">
      <c r="E142" s="69" t="s">
        <v>619</v>
      </c>
      <c r="F142" s="70"/>
      <c r="G142" s="71"/>
      <c r="H142" s="72">
        <f>SUM(H139:H141)</f>
        <v>0</v>
      </c>
      <c r="I142" s="69" t="s">
        <v>619</v>
      </c>
      <c r="J142" s="70"/>
      <c r="K142" s="71"/>
      <c r="L142" s="72">
        <f>SUM(L139:L141)</f>
        <v>0</v>
      </c>
      <c r="N142" s="168" t="s">
        <v>140</v>
      </c>
      <c r="O142" s="169">
        <v>6861.18</v>
      </c>
      <c r="P142" s="277">
        <v>420</v>
      </c>
    </row>
    <row r="143" spans="5:16" ht="12.75">
      <c r="E143" s="76" t="s">
        <v>541</v>
      </c>
      <c r="F143" s="356" t="s">
        <v>12</v>
      </c>
      <c r="G143" s="357"/>
      <c r="H143" s="61"/>
      <c r="I143" s="76" t="s">
        <v>541</v>
      </c>
      <c r="J143" s="356" t="s">
        <v>13</v>
      </c>
      <c r="K143" s="357"/>
      <c r="L143" s="61"/>
      <c r="N143" s="168" t="s">
        <v>141</v>
      </c>
      <c r="O143" s="169">
        <v>8356.03</v>
      </c>
      <c r="P143" s="277">
        <v>421</v>
      </c>
    </row>
    <row r="144" spans="5:16" ht="12.75">
      <c r="E144" s="62"/>
      <c r="F144" s="63"/>
      <c r="G144" s="63"/>
      <c r="H144" s="64"/>
      <c r="I144" s="62"/>
      <c r="J144" s="63"/>
      <c r="K144" s="63"/>
      <c r="L144" s="64"/>
      <c r="N144" s="168" t="s">
        <v>142</v>
      </c>
      <c r="O144" s="169">
        <v>7616.56</v>
      </c>
      <c r="P144" s="277">
        <v>422</v>
      </c>
    </row>
    <row r="145" spans="5:16" ht="12.75">
      <c r="E145" s="62"/>
      <c r="F145" s="65" t="s">
        <v>446</v>
      </c>
      <c r="G145" s="65" t="s">
        <v>538</v>
      </c>
      <c r="H145" s="66" t="s">
        <v>3</v>
      </c>
      <c r="I145" s="62"/>
      <c r="J145" s="65" t="s">
        <v>446</v>
      </c>
      <c r="K145" s="65" t="s">
        <v>538</v>
      </c>
      <c r="L145" s="66" t="s">
        <v>3</v>
      </c>
      <c r="N145" s="168" t="s">
        <v>143</v>
      </c>
      <c r="O145" s="169">
        <v>5888.57</v>
      </c>
      <c r="P145" s="277">
        <v>423</v>
      </c>
    </row>
    <row r="146" spans="5:16" ht="12.75">
      <c r="E146" s="67" t="s">
        <v>457</v>
      </c>
      <c r="F146" s="36"/>
      <c r="G146" s="59">
        <f>G147*0.91</f>
        <v>6130.4971000000005</v>
      </c>
      <c r="H146" s="68">
        <f>F146*G146</f>
        <v>0</v>
      </c>
      <c r="I146" s="67" t="s">
        <v>457</v>
      </c>
      <c r="J146" s="36"/>
      <c r="K146" s="59">
        <f>K147*0.91</f>
        <v>6102.8149</v>
      </c>
      <c r="L146" s="68">
        <f>J146*K146</f>
        <v>0</v>
      </c>
      <c r="N146" s="168" t="s">
        <v>144</v>
      </c>
      <c r="O146" s="169">
        <v>6549.53</v>
      </c>
      <c r="P146" s="277">
        <v>425</v>
      </c>
    </row>
    <row r="147" spans="5:16" ht="12.75">
      <c r="E147" s="67" t="s">
        <v>458</v>
      </c>
      <c r="F147" s="36"/>
      <c r="G147" s="59">
        <f>INDEX(kkkpo,MATCH(F143,kuntanimi,0),1,1)</f>
        <v>6736.81</v>
      </c>
      <c r="H147" s="68">
        <f>F147*G147</f>
        <v>0</v>
      </c>
      <c r="I147" s="67" t="s">
        <v>458</v>
      </c>
      <c r="J147" s="36"/>
      <c r="K147" s="59">
        <f>INDEX(kkkpo,MATCH(J143,kuntanimi,0),1,1)</f>
        <v>6706.39</v>
      </c>
      <c r="L147" s="68">
        <f>J147*K147</f>
        <v>0</v>
      </c>
      <c r="N147" s="168" t="s">
        <v>145</v>
      </c>
      <c r="O147" s="169">
        <v>6442.05</v>
      </c>
      <c r="P147" s="277">
        <v>426</v>
      </c>
    </row>
    <row r="148" spans="5:16" ht="12.75">
      <c r="E148" s="62" t="s">
        <v>459</v>
      </c>
      <c r="F148" s="36"/>
      <c r="G148" s="59">
        <f>G147*1.35</f>
        <v>9094.693500000001</v>
      </c>
      <c r="H148" s="68">
        <f>F148*G148</f>
        <v>0</v>
      </c>
      <c r="I148" s="62" t="s">
        <v>459</v>
      </c>
      <c r="J148" s="36"/>
      <c r="K148" s="59">
        <f>K147*1.35</f>
        <v>9053.6265</v>
      </c>
      <c r="L148" s="68">
        <f>J148*K148</f>
        <v>0</v>
      </c>
      <c r="N148" s="168" t="s">
        <v>146</v>
      </c>
      <c r="O148" s="169">
        <v>6173.53</v>
      </c>
      <c r="P148" s="277">
        <v>444</v>
      </c>
    </row>
    <row r="149" spans="5:16" ht="12.75">
      <c r="E149" s="69" t="s">
        <v>619</v>
      </c>
      <c r="F149" s="70"/>
      <c r="G149" s="71"/>
      <c r="H149" s="72">
        <f>SUM(H146:H148)</f>
        <v>0</v>
      </c>
      <c r="I149" s="69" t="s">
        <v>619</v>
      </c>
      <c r="J149" s="70"/>
      <c r="K149" s="71"/>
      <c r="L149" s="72">
        <f>SUM(L146:L148)</f>
        <v>0</v>
      </c>
      <c r="N149" s="168" t="s">
        <v>147</v>
      </c>
      <c r="O149" s="169">
        <v>6348.24</v>
      </c>
      <c r="P149" s="277">
        <v>430</v>
      </c>
    </row>
    <row r="150" spans="5:16" ht="12.75">
      <c r="E150" s="76" t="s">
        <v>541</v>
      </c>
      <c r="F150" s="356" t="s">
        <v>14</v>
      </c>
      <c r="G150" s="357"/>
      <c r="H150" s="61"/>
      <c r="I150" s="76" t="s">
        <v>541</v>
      </c>
      <c r="J150" s="356" t="s">
        <v>15</v>
      </c>
      <c r="K150" s="357"/>
      <c r="L150" s="61"/>
      <c r="N150" s="168" t="s">
        <v>148</v>
      </c>
      <c r="O150" s="169">
        <v>6575.55</v>
      </c>
      <c r="P150" s="277">
        <v>433</v>
      </c>
    </row>
    <row r="151" spans="5:16" ht="12.75">
      <c r="E151" s="62"/>
      <c r="F151" s="63"/>
      <c r="G151" s="63"/>
      <c r="H151" s="64"/>
      <c r="I151" s="62"/>
      <c r="J151" s="63"/>
      <c r="K151" s="63"/>
      <c r="L151" s="64"/>
      <c r="N151" s="168" t="s">
        <v>149</v>
      </c>
      <c r="O151" s="169">
        <v>6998.59</v>
      </c>
      <c r="P151" s="277">
        <v>434</v>
      </c>
    </row>
    <row r="152" spans="5:16" ht="12.75">
      <c r="E152" s="62"/>
      <c r="F152" s="65" t="s">
        <v>446</v>
      </c>
      <c r="G152" s="65" t="s">
        <v>538</v>
      </c>
      <c r="H152" s="66" t="s">
        <v>3</v>
      </c>
      <c r="I152" s="62"/>
      <c r="J152" s="65" t="s">
        <v>446</v>
      </c>
      <c r="K152" s="65" t="s">
        <v>538</v>
      </c>
      <c r="L152" s="66" t="s">
        <v>3</v>
      </c>
      <c r="N152" s="168" t="s">
        <v>150</v>
      </c>
      <c r="O152" s="169">
        <v>7542.98</v>
      </c>
      <c r="P152" s="277">
        <v>435</v>
      </c>
    </row>
    <row r="153" spans="5:16" ht="12.75">
      <c r="E153" s="67" t="s">
        <v>457</v>
      </c>
      <c r="F153" s="36"/>
      <c r="G153" s="59">
        <f>G154*0.91</f>
        <v>5933.2728</v>
      </c>
      <c r="H153" s="68">
        <f>F153*G153</f>
        <v>0</v>
      </c>
      <c r="I153" s="67" t="s">
        <v>457</v>
      </c>
      <c r="J153" s="36"/>
      <c r="K153" s="59">
        <f>K154*0.91</f>
        <v>5687.3544</v>
      </c>
      <c r="L153" s="68">
        <f>J153*K153</f>
        <v>0</v>
      </c>
      <c r="N153" s="168" t="s">
        <v>151</v>
      </c>
      <c r="O153" s="169">
        <v>6822.88</v>
      </c>
      <c r="P153" s="277">
        <v>436</v>
      </c>
    </row>
    <row r="154" spans="5:16" ht="12.75">
      <c r="E154" s="67" t="s">
        <v>458</v>
      </c>
      <c r="F154" s="36"/>
      <c r="G154" s="59">
        <f>INDEX(kkkpo,MATCH(F150,kuntanimi,0),1,1)</f>
        <v>6520.08</v>
      </c>
      <c r="H154" s="68">
        <f>F154*G154</f>
        <v>0</v>
      </c>
      <c r="I154" s="67" t="s">
        <v>458</v>
      </c>
      <c r="J154" s="36"/>
      <c r="K154" s="59">
        <f>INDEX(kkkpo,MATCH(J150,kuntanimi,0),1,1)</f>
        <v>6249.84</v>
      </c>
      <c r="L154" s="68">
        <f>J154*K154</f>
        <v>0</v>
      </c>
      <c r="N154" s="168" t="s">
        <v>152</v>
      </c>
      <c r="O154" s="169">
        <v>6743.94</v>
      </c>
      <c r="P154" s="277">
        <v>440</v>
      </c>
    </row>
    <row r="155" spans="5:16" ht="12.75">
      <c r="E155" s="62" t="s">
        <v>459</v>
      </c>
      <c r="F155" s="36"/>
      <c r="G155" s="59">
        <f>G154*1.35</f>
        <v>8802.108</v>
      </c>
      <c r="H155" s="68">
        <f>F155*G155</f>
        <v>0</v>
      </c>
      <c r="I155" s="62" t="s">
        <v>459</v>
      </c>
      <c r="J155" s="36"/>
      <c r="K155" s="59">
        <f>K154*1.35</f>
        <v>8437.284000000001</v>
      </c>
      <c r="L155" s="68">
        <f>J155*K155</f>
        <v>0</v>
      </c>
      <c r="N155" s="168" t="s">
        <v>153</v>
      </c>
      <c r="O155" s="169">
        <v>7072.45</v>
      </c>
      <c r="P155" s="277">
        <v>441</v>
      </c>
    </row>
    <row r="156" spans="5:16" ht="12.75">
      <c r="E156" s="69" t="s">
        <v>619</v>
      </c>
      <c r="F156" s="70"/>
      <c r="G156" s="71"/>
      <c r="H156" s="72">
        <f>SUM(H153:H155)</f>
        <v>0</v>
      </c>
      <c r="I156" s="69" t="s">
        <v>619</v>
      </c>
      <c r="J156" s="70"/>
      <c r="K156" s="71"/>
      <c r="L156" s="72">
        <f>SUM(L153:L155)</f>
        <v>0</v>
      </c>
      <c r="N156" s="168" t="s">
        <v>154</v>
      </c>
      <c r="O156" s="169">
        <v>6334.37</v>
      </c>
      <c r="P156" s="277">
        <v>442</v>
      </c>
    </row>
    <row r="157" spans="5:16" ht="12.75">
      <c r="E157" s="76" t="s">
        <v>541</v>
      </c>
      <c r="F157" s="356" t="s">
        <v>16</v>
      </c>
      <c r="G157" s="357"/>
      <c r="H157" s="61"/>
      <c r="I157" s="76" t="s">
        <v>541</v>
      </c>
      <c r="J157" s="356" t="s">
        <v>17</v>
      </c>
      <c r="K157" s="357"/>
      <c r="L157" s="61"/>
      <c r="N157" s="168" t="s">
        <v>155</v>
      </c>
      <c r="O157" s="169">
        <v>8192.4</v>
      </c>
      <c r="P157" s="277">
        <v>475</v>
      </c>
    </row>
    <row r="158" spans="5:16" ht="12.75">
      <c r="E158" s="62"/>
      <c r="F158" s="63"/>
      <c r="G158" s="63"/>
      <c r="H158" s="64"/>
      <c r="I158" s="62"/>
      <c r="J158" s="63"/>
      <c r="K158" s="63"/>
      <c r="L158" s="64"/>
      <c r="N158" s="168" t="s">
        <v>156</v>
      </c>
      <c r="O158" s="169">
        <v>6941.89</v>
      </c>
      <c r="P158" s="277">
        <v>476</v>
      </c>
    </row>
    <row r="159" spans="5:16" ht="12.75">
      <c r="E159" s="62"/>
      <c r="F159" s="65" t="s">
        <v>446</v>
      </c>
      <c r="G159" s="65" t="s">
        <v>538</v>
      </c>
      <c r="H159" s="66" t="s">
        <v>3</v>
      </c>
      <c r="I159" s="62"/>
      <c r="J159" s="65" t="s">
        <v>446</v>
      </c>
      <c r="K159" s="65" t="s">
        <v>538</v>
      </c>
      <c r="L159" s="66" t="s">
        <v>3</v>
      </c>
      <c r="N159" s="168" t="s">
        <v>157</v>
      </c>
      <c r="O159" s="169">
        <v>6792.75</v>
      </c>
      <c r="P159" s="277">
        <v>480</v>
      </c>
    </row>
    <row r="160" spans="5:16" ht="12.75">
      <c r="E160" s="67" t="s">
        <v>457</v>
      </c>
      <c r="F160" s="36"/>
      <c r="G160" s="59">
        <f>G161*0.91</f>
        <v>5356.733200000001</v>
      </c>
      <c r="H160" s="68">
        <f>F160*G160</f>
        <v>0</v>
      </c>
      <c r="I160" s="67" t="s">
        <v>457</v>
      </c>
      <c r="J160" s="36"/>
      <c r="K160" s="59">
        <f>K161*0.91</f>
        <v>6990.2924</v>
      </c>
      <c r="L160" s="68">
        <f>J160*K160</f>
        <v>0</v>
      </c>
      <c r="N160" s="168" t="s">
        <v>158</v>
      </c>
      <c r="O160" s="169">
        <v>5857.81</v>
      </c>
      <c r="P160" s="277">
        <v>481</v>
      </c>
    </row>
    <row r="161" spans="5:16" ht="12.75">
      <c r="E161" s="67" t="s">
        <v>458</v>
      </c>
      <c r="F161" s="36"/>
      <c r="G161" s="59">
        <f>INDEX(kkkpo,MATCH(F157,kuntanimi,0),1,1)</f>
        <v>5886.52</v>
      </c>
      <c r="H161" s="68">
        <f>F161*G161</f>
        <v>0</v>
      </c>
      <c r="I161" s="67" t="s">
        <v>458</v>
      </c>
      <c r="J161" s="36"/>
      <c r="K161" s="59">
        <f>INDEX(kkkpo,MATCH(J157,kuntanimi,0),1,1)</f>
        <v>7681.64</v>
      </c>
      <c r="L161" s="68">
        <f>J161*K161</f>
        <v>0</v>
      </c>
      <c r="N161" s="168" t="s">
        <v>159</v>
      </c>
      <c r="O161" s="169">
        <v>7242.31</v>
      </c>
      <c r="P161" s="277">
        <v>483</v>
      </c>
    </row>
    <row r="162" spans="5:16" ht="12.75">
      <c r="E162" s="62" t="s">
        <v>459</v>
      </c>
      <c r="F162" s="36"/>
      <c r="G162" s="59">
        <f>G161*1.35</f>
        <v>7946.8020000000015</v>
      </c>
      <c r="H162" s="68">
        <f>F162*G162</f>
        <v>0</v>
      </c>
      <c r="I162" s="62" t="s">
        <v>459</v>
      </c>
      <c r="J162" s="36"/>
      <c r="K162" s="59">
        <f>K161*1.35</f>
        <v>10370.214000000002</v>
      </c>
      <c r="L162" s="68">
        <f>J162*K162</f>
        <v>0</v>
      </c>
      <c r="N162" s="168" t="s">
        <v>160</v>
      </c>
      <c r="O162" s="169">
        <v>6998.93</v>
      </c>
      <c r="P162" s="277">
        <v>484</v>
      </c>
    </row>
    <row r="163" spans="5:16" ht="12.75">
      <c r="E163" s="69" t="s">
        <v>619</v>
      </c>
      <c r="F163" s="70"/>
      <c r="G163" s="71"/>
      <c r="H163" s="72">
        <f>SUM(H160:H162)</f>
        <v>0</v>
      </c>
      <c r="I163" s="69" t="s">
        <v>619</v>
      </c>
      <c r="J163" s="70"/>
      <c r="K163" s="71"/>
      <c r="L163" s="72">
        <f>SUM(L160:L162)</f>
        <v>0</v>
      </c>
      <c r="N163" s="168" t="s">
        <v>161</v>
      </c>
      <c r="O163" s="169">
        <v>7279.53</v>
      </c>
      <c r="P163" s="277">
        <v>489</v>
      </c>
    </row>
    <row r="164" spans="5:16" ht="12.75">
      <c r="E164" s="1" t="s">
        <v>646</v>
      </c>
      <c r="L164" s="73">
        <f>H30+L30+H37+L37+H44+L44+H51+L51+H58+L58+H65+L65</f>
        <v>0</v>
      </c>
      <c r="N164" s="168" t="s">
        <v>162</v>
      </c>
      <c r="O164" s="169">
        <v>6317.71</v>
      </c>
      <c r="P164" s="277">
        <v>491</v>
      </c>
    </row>
    <row r="165" spans="12:16" ht="12.75">
      <c r="L165" s="182" t="s">
        <v>452</v>
      </c>
      <c r="N165" s="168" t="s">
        <v>163</v>
      </c>
      <c r="O165" s="169">
        <v>6713.24</v>
      </c>
      <c r="P165" s="277">
        <v>494</v>
      </c>
    </row>
    <row r="166" spans="14:16" ht="12.75">
      <c r="N166" s="168" t="s">
        <v>164</v>
      </c>
      <c r="O166" s="169">
        <v>8018.97</v>
      </c>
      <c r="P166" s="277">
        <v>495</v>
      </c>
    </row>
    <row r="167" spans="14:16" ht="12.75">
      <c r="N167" s="168" t="s">
        <v>165</v>
      </c>
      <c r="O167" s="169">
        <v>8622.22</v>
      </c>
      <c r="P167" s="277">
        <v>498</v>
      </c>
    </row>
    <row r="168" spans="14:16" ht="12.75">
      <c r="N168" s="168" t="s">
        <v>166</v>
      </c>
      <c r="O168" s="169">
        <v>7102.78</v>
      </c>
      <c r="P168" s="277">
        <v>499</v>
      </c>
    </row>
    <row r="169" spans="14:16" ht="12.75">
      <c r="N169" s="168" t="s">
        <v>167</v>
      </c>
      <c r="O169" s="169">
        <v>5856.91</v>
      </c>
      <c r="P169" s="277">
        <v>500</v>
      </c>
    </row>
    <row r="170" spans="14:16" ht="12.75">
      <c r="N170" s="168" t="s">
        <v>168</v>
      </c>
      <c r="O170" s="169">
        <v>6521.43</v>
      </c>
      <c r="P170" s="277">
        <v>503</v>
      </c>
    </row>
    <row r="171" spans="14:16" ht="12.75">
      <c r="N171" s="170" t="s">
        <v>169</v>
      </c>
      <c r="O171" s="169">
        <v>7149.31</v>
      </c>
      <c r="P171" s="277">
        <v>504</v>
      </c>
    </row>
    <row r="172" spans="14:16" ht="12.75">
      <c r="N172" s="168" t="s">
        <v>170</v>
      </c>
      <c r="O172" s="169">
        <v>5966.28</v>
      </c>
      <c r="P172" s="277">
        <v>505</v>
      </c>
    </row>
    <row r="173" spans="14:16" ht="12.75">
      <c r="N173" s="168" t="s">
        <v>171</v>
      </c>
      <c r="O173" s="169">
        <v>6306.54</v>
      </c>
      <c r="P173" s="277">
        <v>508</v>
      </c>
    </row>
    <row r="174" spans="14:16" ht="12.75">
      <c r="N174" s="168" t="s">
        <v>172</v>
      </c>
      <c r="O174" s="169">
        <v>7100.73</v>
      </c>
      <c r="P174" s="277">
        <v>507</v>
      </c>
    </row>
    <row r="175" spans="14:16" ht="12.75">
      <c r="N175" s="168" t="s">
        <v>173</v>
      </c>
      <c r="O175" s="169">
        <v>5868.7</v>
      </c>
      <c r="P175" s="277">
        <v>529</v>
      </c>
    </row>
    <row r="176" spans="14:16" ht="12.75">
      <c r="N176" s="168" t="s">
        <v>174</v>
      </c>
      <c r="O176" s="169">
        <v>6017.09</v>
      </c>
      <c r="P176" s="277">
        <v>531</v>
      </c>
    </row>
    <row r="177" spans="14:16" ht="12.75">
      <c r="N177" s="170" t="s">
        <v>175</v>
      </c>
      <c r="O177" s="169">
        <v>5883.87</v>
      </c>
      <c r="P177" s="277">
        <v>532</v>
      </c>
    </row>
    <row r="178" spans="14:16" ht="12.75">
      <c r="N178" s="168" t="s">
        <v>176</v>
      </c>
      <c r="O178" s="169">
        <v>6295.34</v>
      </c>
      <c r="P178" s="277">
        <v>535</v>
      </c>
    </row>
    <row r="179" spans="14:16" ht="12.75">
      <c r="N179" s="168" t="s">
        <v>177</v>
      </c>
      <c r="O179" s="169">
        <v>5876.04</v>
      </c>
      <c r="P179" s="277">
        <v>536</v>
      </c>
    </row>
    <row r="180" spans="14:16" ht="12.75">
      <c r="N180" s="168" t="s">
        <v>178</v>
      </c>
      <c r="O180" s="169">
        <v>6195.69</v>
      </c>
      <c r="P180" s="277">
        <v>538</v>
      </c>
    </row>
    <row r="181" spans="14:16" ht="12.75">
      <c r="N181" s="168" t="s">
        <v>179</v>
      </c>
      <c r="O181" s="169">
        <v>7255.32</v>
      </c>
      <c r="P181" s="277">
        <v>541</v>
      </c>
    </row>
    <row r="182" spans="14:16" ht="12.75">
      <c r="N182" s="168" t="s">
        <v>180</v>
      </c>
      <c r="O182" s="169">
        <v>5880.12</v>
      </c>
      <c r="P182" s="277">
        <v>543</v>
      </c>
    </row>
    <row r="183" spans="14:16" ht="12.75">
      <c r="N183" s="168" t="s">
        <v>181</v>
      </c>
      <c r="O183" s="169">
        <v>7655.54</v>
      </c>
      <c r="P183" s="277">
        <v>545</v>
      </c>
    </row>
    <row r="184" spans="14:16" ht="12.75">
      <c r="N184" s="168" t="s">
        <v>182</v>
      </c>
      <c r="O184" s="169">
        <v>6319.83</v>
      </c>
      <c r="P184" s="277">
        <v>560</v>
      </c>
    </row>
    <row r="185" spans="14:16" ht="12.75">
      <c r="N185" s="168" t="s">
        <v>183</v>
      </c>
      <c r="O185" s="169">
        <v>6677.97</v>
      </c>
      <c r="P185" s="277">
        <v>561</v>
      </c>
    </row>
    <row r="186" spans="14:16" ht="12.75">
      <c r="N186" s="168" t="s">
        <v>184</v>
      </c>
      <c r="O186" s="169">
        <v>6672.98</v>
      </c>
      <c r="P186" s="277">
        <v>562</v>
      </c>
    </row>
    <row r="187" spans="14:16" ht="12.75">
      <c r="N187" s="168" t="s">
        <v>185</v>
      </c>
      <c r="O187" s="169">
        <v>6600.05</v>
      </c>
      <c r="P187" s="277">
        <v>563</v>
      </c>
    </row>
    <row r="188" spans="14:16" ht="12.75">
      <c r="N188" s="168" t="s">
        <v>186</v>
      </c>
      <c r="O188" s="169">
        <v>5880.05</v>
      </c>
      <c r="P188" s="277">
        <v>564</v>
      </c>
    </row>
    <row r="189" spans="14:16" ht="12.75">
      <c r="N189" s="168" t="s">
        <v>187</v>
      </c>
      <c r="O189" s="169">
        <v>6493.19</v>
      </c>
      <c r="P189" s="277">
        <v>309</v>
      </c>
    </row>
    <row r="190" spans="14:16" ht="12.75">
      <c r="N190" s="168" t="s">
        <v>188</v>
      </c>
      <c r="O190" s="169">
        <v>7089.72</v>
      </c>
      <c r="P190" s="277">
        <v>576</v>
      </c>
    </row>
    <row r="191" spans="14:16" ht="12.75">
      <c r="N191" s="168" t="s">
        <v>189</v>
      </c>
      <c r="O191" s="169">
        <v>5865.82</v>
      </c>
      <c r="P191" s="277">
        <v>577</v>
      </c>
    </row>
    <row r="192" spans="14:16" ht="12.75">
      <c r="N192" s="168" t="s">
        <v>190</v>
      </c>
      <c r="O192" s="169">
        <v>7380.27</v>
      </c>
      <c r="P192" s="277">
        <v>578</v>
      </c>
    </row>
    <row r="193" spans="14:16" ht="12.75">
      <c r="N193" s="168" t="s">
        <v>353</v>
      </c>
      <c r="O193" s="169">
        <v>7570.96</v>
      </c>
      <c r="P193" s="277">
        <v>445</v>
      </c>
    </row>
    <row r="194" spans="14:16" ht="12.75">
      <c r="N194" s="168" t="s">
        <v>191</v>
      </c>
      <c r="O194" s="169">
        <v>6847.77</v>
      </c>
      <c r="P194" s="277">
        <v>580</v>
      </c>
    </row>
    <row r="195" spans="14:16" ht="12.75">
      <c r="N195" s="170" t="s">
        <v>192</v>
      </c>
      <c r="O195" s="169">
        <v>6954.64</v>
      </c>
      <c r="P195" s="277">
        <v>581</v>
      </c>
    </row>
    <row r="196" spans="14:16" ht="12.75">
      <c r="N196" s="168" t="s">
        <v>193</v>
      </c>
      <c r="O196" s="169">
        <v>7612.36</v>
      </c>
      <c r="P196" s="277">
        <v>599</v>
      </c>
    </row>
    <row r="197" spans="14:16" ht="12.75">
      <c r="N197" s="168" t="s">
        <v>194</v>
      </c>
      <c r="O197" s="169">
        <v>9223.42</v>
      </c>
      <c r="P197" s="277">
        <v>583</v>
      </c>
    </row>
    <row r="198" spans="14:16" ht="12.75">
      <c r="N198" s="168" t="s">
        <v>195</v>
      </c>
      <c r="O198" s="169">
        <v>8107.51</v>
      </c>
      <c r="P198" s="277">
        <v>854</v>
      </c>
    </row>
    <row r="199" spans="14:16" ht="12.75">
      <c r="N199" s="168" t="s">
        <v>196</v>
      </c>
      <c r="O199" s="169">
        <v>7475.6</v>
      </c>
      <c r="P199" s="277">
        <v>584</v>
      </c>
    </row>
    <row r="200" spans="14:16" ht="12.75">
      <c r="N200" s="168" t="s">
        <v>197</v>
      </c>
      <c r="O200" s="169">
        <v>7263.07</v>
      </c>
      <c r="P200" s="277">
        <v>588</v>
      </c>
    </row>
    <row r="201" spans="14:16" ht="12.75">
      <c r="N201" s="168" t="s">
        <v>198</v>
      </c>
      <c r="O201" s="169">
        <v>6869.83</v>
      </c>
      <c r="P201" s="277">
        <v>592</v>
      </c>
    </row>
    <row r="202" spans="14:16" ht="12.75">
      <c r="N202" s="168" t="s">
        <v>199</v>
      </c>
      <c r="O202" s="169">
        <v>6652.81</v>
      </c>
      <c r="P202" s="277">
        <v>593</v>
      </c>
    </row>
    <row r="203" spans="14:16" ht="12.75">
      <c r="N203" s="168" t="s">
        <v>200</v>
      </c>
      <c r="O203" s="169">
        <v>7375.97</v>
      </c>
      <c r="P203" s="277">
        <v>595</v>
      </c>
    </row>
    <row r="204" spans="14:16" ht="12.75">
      <c r="N204" s="168" t="s">
        <v>201</v>
      </c>
      <c r="O204" s="169">
        <v>6674.91</v>
      </c>
      <c r="P204" s="277">
        <v>598</v>
      </c>
    </row>
    <row r="205" spans="14:16" ht="12.75">
      <c r="N205" s="168" t="s">
        <v>202</v>
      </c>
      <c r="O205" s="169">
        <v>7386.58</v>
      </c>
      <c r="P205" s="277">
        <v>601</v>
      </c>
    </row>
    <row r="206" spans="14:16" ht="12.75">
      <c r="N206" s="168" t="s">
        <v>203</v>
      </c>
      <c r="O206" s="169">
        <v>5882.03</v>
      </c>
      <c r="P206" s="277">
        <v>604</v>
      </c>
    </row>
    <row r="207" spans="14:16" ht="12.75">
      <c r="N207" s="168" t="s">
        <v>204</v>
      </c>
      <c r="O207" s="169">
        <v>7133.41</v>
      </c>
      <c r="P207" s="277">
        <v>607</v>
      </c>
    </row>
    <row r="208" spans="14:16" ht="12.75">
      <c r="N208" s="168" t="s">
        <v>205</v>
      </c>
      <c r="O208" s="169">
        <v>6956.68</v>
      </c>
      <c r="P208" s="277">
        <v>608</v>
      </c>
    </row>
    <row r="209" spans="14:16" ht="12.75">
      <c r="N209" s="168" t="s">
        <v>206</v>
      </c>
      <c r="O209" s="169">
        <v>5880.45</v>
      </c>
      <c r="P209" s="277">
        <v>609</v>
      </c>
    </row>
    <row r="210" spans="14:16" ht="12.75">
      <c r="N210" s="168" t="s">
        <v>207</v>
      </c>
      <c r="O210" s="169">
        <v>5973.36</v>
      </c>
      <c r="P210" s="277">
        <v>611</v>
      </c>
    </row>
    <row r="211" spans="14:16" ht="12.75">
      <c r="N211" s="170" t="s">
        <v>208</v>
      </c>
      <c r="O211" s="169">
        <v>6419.83</v>
      </c>
      <c r="P211" s="277">
        <v>638</v>
      </c>
    </row>
    <row r="212" spans="14:16" ht="12.75">
      <c r="N212" s="168" t="s">
        <v>209</v>
      </c>
      <c r="O212" s="169">
        <v>8562.91</v>
      </c>
      <c r="P212" s="277">
        <v>614</v>
      </c>
    </row>
    <row r="213" spans="14:16" ht="12.75">
      <c r="N213" s="168" t="s">
        <v>210</v>
      </c>
      <c r="O213" s="169">
        <v>8430</v>
      </c>
      <c r="P213" s="277">
        <v>615</v>
      </c>
    </row>
    <row r="214" spans="14:16" ht="12.75">
      <c r="N214" s="168" t="s">
        <v>211</v>
      </c>
      <c r="O214" s="169">
        <v>6578.72</v>
      </c>
      <c r="P214" s="277">
        <v>616</v>
      </c>
    </row>
    <row r="215" spans="14:16" ht="12.75">
      <c r="N215" s="168" t="s">
        <v>212</v>
      </c>
      <c r="O215" s="169">
        <v>6938.14</v>
      </c>
      <c r="P215" s="277">
        <v>619</v>
      </c>
    </row>
    <row r="216" spans="14:16" ht="12.75">
      <c r="N216" s="168" t="s">
        <v>213</v>
      </c>
      <c r="O216" s="169">
        <v>8584.74</v>
      </c>
      <c r="P216" s="277">
        <v>620</v>
      </c>
    </row>
    <row r="217" spans="14:16" ht="12.75">
      <c r="N217" s="168" t="s">
        <v>214</v>
      </c>
      <c r="O217" s="169">
        <v>8263.44</v>
      </c>
      <c r="P217" s="277">
        <v>623</v>
      </c>
    </row>
    <row r="218" spans="14:16" ht="12.75">
      <c r="N218" s="168" t="s">
        <v>215</v>
      </c>
      <c r="O218" s="169">
        <v>6813.02</v>
      </c>
      <c r="P218" s="277">
        <v>624</v>
      </c>
    </row>
    <row r="219" spans="14:16" ht="12.75">
      <c r="N219" s="168" t="s">
        <v>216</v>
      </c>
      <c r="O219" s="169">
        <v>7146.37</v>
      </c>
      <c r="P219" s="277">
        <v>625</v>
      </c>
    </row>
    <row r="220" spans="14:16" ht="12.75">
      <c r="N220" s="168" t="s">
        <v>217</v>
      </c>
      <c r="O220" s="169">
        <v>7324.33</v>
      </c>
      <c r="P220" s="277">
        <v>626</v>
      </c>
    </row>
    <row r="221" spans="14:16" ht="12.75">
      <c r="N221" s="168" t="s">
        <v>218</v>
      </c>
      <c r="O221" s="169">
        <v>8208.74</v>
      </c>
      <c r="P221" s="277">
        <v>630</v>
      </c>
    </row>
    <row r="222" spans="14:16" ht="12.75">
      <c r="N222" s="168" t="s">
        <v>219</v>
      </c>
      <c r="O222" s="169">
        <v>6502.6</v>
      </c>
      <c r="P222" s="277">
        <v>631</v>
      </c>
    </row>
    <row r="223" spans="14:16" ht="12.75">
      <c r="N223" s="168" t="s">
        <v>220</v>
      </c>
      <c r="O223" s="169">
        <v>6670.74</v>
      </c>
      <c r="P223" s="277">
        <v>635</v>
      </c>
    </row>
    <row r="224" spans="14:16" ht="12.75">
      <c r="N224" s="168" t="s">
        <v>221</v>
      </c>
      <c r="O224" s="169">
        <v>6721.63</v>
      </c>
      <c r="P224" s="277">
        <v>636</v>
      </c>
    </row>
    <row r="225" spans="14:16" ht="12.75">
      <c r="N225" s="168" t="s">
        <v>222</v>
      </c>
      <c r="O225" s="169">
        <v>6181.2</v>
      </c>
      <c r="P225" s="277">
        <v>678</v>
      </c>
    </row>
    <row r="226" spans="14:16" ht="12.75">
      <c r="N226" s="168" t="s">
        <v>223</v>
      </c>
      <c r="O226" s="169">
        <v>6997.14</v>
      </c>
      <c r="P226" s="277">
        <v>710</v>
      </c>
    </row>
    <row r="227" spans="14:16" ht="12.75">
      <c r="N227" s="168" t="s">
        <v>224</v>
      </c>
      <c r="O227" s="169">
        <v>5953.89</v>
      </c>
      <c r="P227" s="277">
        <v>680</v>
      </c>
    </row>
    <row r="228" spans="14:16" ht="12.75">
      <c r="N228" s="168" t="s">
        <v>225</v>
      </c>
      <c r="O228" s="169">
        <v>7042.65</v>
      </c>
      <c r="P228" s="277">
        <v>681</v>
      </c>
    </row>
    <row r="229" spans="14:16" ht="12.75">
      <c r="N229" s="168" t="s">
        <v>226</v>
      </c>
      <c r="O229" s="169">
        <v>8573.71</v>
      </c>
      <c r="P229" s="277">
        <v>683</v>
      </c>
    </row>
    <row r="230" spans="14:16" ht="12.75">
      <c r="N230" s="168" t="s">
        <v>227</v>
      </c>
      <c r="O230" s="169">
        <v>5877.71</v>
      </c>
      <c r="P230" s="277">
        <v>684</v>
      </c>
    </row>
    <row r="231" spans="14:16" ht="12.75">
      <c r="N231" s="168" t="s">
        <v>228</v>
      </c>
      <c r="O231" s="169">
        <v>7102.99</v>
      </c>
      <c r="P231" s="277">
        <v>686</v>
      </c>
    </row>
    <row r="232" spans="14:16" ht="12.75">
      <c r="N232" s="168" t="s">
        <v>229</v>
      </c>
      <c r="O232" s="169">
        <v>8399.14</v>
      </c>
      <c r="P232" s="277">
        <v>687</v>
      </c>
    </row>
    <row r="233" spans="14:16" ht="12.75">
      <c r="N233" s="170" t="s">
        <v>230</v>
      </c>
      <c r="O233" s="169">
        <v>6732.17</v>
      </c>
      <c r="P233" s="277">
        <v>689</v>
      </c>
    </row>
    <row r="234" spans="14:16" ht="12.75">
      <c r="N234" s="168" t="s">
        <v>231</v>
      </c>
      <c r="O234" s="169">
        <v>7107.48</v>
      </c>
      <c r="P234" s="277">
        <v>691</v>
      </c>
    </row>
    <row r="235" spans="14:16" ht="12.75">
      <c r="N235" s="168" t="s">
        <v>232</v>
      </c>
      <c r="O235" s="169">
        <v>5893.59</v>
      </c>
      <c r="P235" s="277">
        <v>694</v>
      </c>
    </row>
    <row r="236" spans="14:16" ht="12.75">
      <c r="N236" s="168" t="s">
        <v>233</v>
      </c>
      <c r="O236" s="169">
        <v>8298.09</v>
      </c>
      <c r="P236" s="277">
        <v>697</v>
      </c>
    </row>
    <row r="237" spans="14:16" ht="12.75">
      <c r="N237" s="168" t="s">
        <v>234</v>
      </c>
      <c r="O237" s="169">
        <v>6972.75</v>
      </c>
      <c r="P237" s="277">
        <v>698</v>
      </c>
    </row>
    <row r="238" spans="14:16" ht="12.75">
      <c r="N238" s="168" t="s">
        <v>235</v>
      </c>
      <c r="O238" s="169">
        <v>7147.38</v>
      </c>
      <c r="P238" s="277">
        <v>700</v>
      </c>
    </row>
    <row r="239" spans="14:16" ht="12.75">
      <c r="N239" s="168" t="s">
        <v>236</v>
      </c>
      <c r="O239" s="169">
        <v>7108.06</v>
      </c>
      <c r="P239" s="277">
        <v>702</v>
      </c>
    </row>
    <row r="240" spans="14:16" ht="12.75">
      <c r="N240" s="170" t="s">
        <v>237</v>
      </c>
      <c r="O240" s="169">
        <v>5872.46</v>
      </c>
      <c r="P240" s="277">
        <v>704</v>
      </c>
    </row>
    <row r="241" spans="14:16" ht="12.75">
      <c r="N241" s="168" t="s">
        <v>238</v>
      </c>
      <c r="O241" s="169">
        <v>7234.09</v>
      </c>
      <c r="P241" s="277">
        <v>707</v>
      </c>
    </row>
    <row r="242" spans="14:16" ht="12.75">
      <c r="N242" s="168" t="s">
        <v>239</v>
      </c>
      <c r="O242" s="169">
        <v>6915.3</v>
      </c>
      <c r="P242" s="277">
        <v>729</v>
      </c>
    </row>
    <row r="243" spans="14:16" ht="12.75">
      <c r="N243" s="168" t="s">
        <v>240</v>
      </c>
      <c r="O243" s="169">
        <v>8994.42</v>
      </c>
      <c r="P243" s="277">
        <v>732</v>
      </c>
    </row>
    <row r="244" spans="14:16" ht="12.75">
      <c r="N244" s="168" t="s">
        <v>241</v>
      </c>
      <c r="O244" s="169">
        <v>6182.76</v>
      </c>
      <c r="P244" s="277">
        <v>734</v>
      </c>
    </row>
    <row r="245" spans="14:16" ht="12.75">
      <c r="N245" s="168" t="s">
        <v>242</v>
      </c>
      <c r="O245" s="169">
        <v>6412.54</v>
      </c>
      <c r="P245" s="277">
        <v>790</v>
      </c>
    </row>
    <row r="246" spans="14:16" ht="12.75">
      <c r="N246" s="168" t="s">
        <v>243</v>
      </c>
      <c r="O246" s="169">
        <v>6729.53</v>
      </c>
      <c r="P246" s="277">
        <v>738</v>
      </c>
    </row>
    <row r="247" spans="14:16" ht="12.75">
      <c r="N247" s="168" t="s">
        <v>244</v>
      </c>
      <c r="O247" s="169">
        <v>7046.56</v>
      </c>
      <c r="P247" s="277">
        <v>739</v>
      </c>
    </row>
    <row r="248" spans="14:16" ht="12.75">
      <c r="N248" s="168" t="s">
        <v>245</v>
      </c>
      <c r="O248" s="169">
        <v>6490.68</v>
      </c>
      <c r="P248" s="277">
        <v>740</v>
      </c>
    </row>
    <row r="249" spans="14:16" ht="12.75">
      <c r="N249" s="168" t="s">
        <v>246</v>
      </c>
      <c r="O249" s="169">
        <v>10152.34</v>
      </c>
      <c r="P249" s="277">
        <v>742</v>
      </c>
    </row>
    <row r="250" spans="14:16" ht="12.75">
      <c r="N250" s="168" t="s">
        <v>247</v>
      </c>
      <c r="O250" s="169">
        <v>5864.51</v>
      </c>
      <c r="P250" s="277">
        <v>743</v>
      </c>
    </row>
    <row r="251" spans="14:16" ht="12.75">
      <c r="N251" s="168" t="s">
        <v>248</v>
      </c>
      <c r="O251" s="169">
        <v>7074.07</v>
      </c>
      <c r="P251" s="277">
        <v>746</v>
      </c>
    </row>
    <row r="252" spans="14:16" ht="12.75">
      <c r="N252" s="168" t="s">
        <v>249</v>
      </c>
      <c r="O252" s="169">
        <v>7606.05</v>
      </c>
      <c r="P252" s="277">
        <v>747</v>
      </c>
    </row>
    <row r="253" spans="14:16" ht="12.75">
      <c r="N253" s="168" t="s">
        <v>250</v>
      </c>
      <c r="O253" s="169">
        <v>7245.71</v>
      </c>
      <c r="P253" s="277">
        <v>748</v>
      </c>
    </row>
    <row r="254" spans="14:16" ht="12.75">
      <c r="N254" s="168" t="s">
        <v>251</v>
      </c>
      <c r="O254" s="169">
        <v>7968.65</v>
      </c>
      <c r="P254" s="277">
        <v>791</v>
      </c>
    </row>
    <row r="255" spans="14:16" ht="12.75">
      <c r="N255" s="168" t="s">
        <v>252</v>
      </c>
      <c r="O255" s="169">
        <v>5855.98</v>
      </c>
      <c r="P255" s="277">
        <v>749</v>
      </c>
    </row>
    <row r="256" spans="14:16" ht="12.75">
      <c r="N256" s="170" t="s">
        <v>253</v>
      </c>
      <c r="O256" s="169">
        <v>8098.42</v>
      </c>
      <c r="P256" s="277">
        <v>751</v>
      </c>
    </row>
    <row r="257" spans="14:16" ht="12.75">
      <c r="N257" s="168" t="s">
        <v>254</v>
      </c>
      <c r="O257" s="169">
        <v>6420.46</v>
      </c>
      <c r="P257" s="277">
        <v>753</v>
      </c>
    </row>
    <row r="258" spans="14:16" ht="12.75">
      <c r="N258" s="168" t="s">
        <v>255</v>
      </c>
      <c r="O258" s="169">
        <v>6685.71</v>
      </c>
      <c r="P258" s="277">
        <v>755</v>
      </c>
    </row>
    <row r="259" spans="14:16" ht="12.75">
      <c r="N259" s="168" t="s">
        <v>256</v>
      </c>
      <c r="O259" s="169">
        <v>8975.87</v>
      </c>
      <c r="P259" s="277">
        <v>758</v>
      </c>
    </row>
    <row r="260" spans="14:16" ht="12.75">
      <c r="N260" s="168" t="s">
        <v>257</v>
      </c>
      <c r="O260" s="169">
        <v>7368.68</v>
      </c>
      <c r="P260" s="277">
        <v>759</v>
      </c>
    </row>
    <row r="261" spans="14:16" ht="12.75">
      <c r="N261" s="168" t="s">
        <v>258</v>
      </c>
      <c r="O261" s="169">
        <v>6604.99</v>
      </c>
      <c r="P261" s="277">
        <v>761</v>
      </c>
    </row>
    <row r="262" spans="14:16" ht="12.75">
      <c r="N262" s="168" t="s">
        <v>259</v>
      </c>
      <c r="O262" s="169">
        <v>7827.39</v>
      </c>
      <c r="P262" s="277">
        <v>762</v>
      </c>
    </row>
    <row r="263" spans="14:16" ht="12.75">
      <c r="N263" s="168" t="s">
        <v>260</v>
      </c>
      <c r="O263" s="169">
        <v>7418.83</v>
      </c>
      <c r="P263" s="277">
        <v>765</v>
      </c>
    </row>
    <row r="264" spans="14:16" ht="12.75">
      <c r="N264" s="170" t="s">
        <v>261</v>
      </c>
      <c r="O264" s="169">
        <v>7704.47</v>
      </c>
      <c r="P264" s="277">
        <v>768</v>
      </c>
    </row>
    <row r="265" spans="14:16" ht="12.75">
      <c r="N265" s="168" t="s">
        <v>262</v>
      </c>
      <c r="O265" s="169">
        <v>8357.08</v>
      </c>
      <c r="P265" s="277">
        <v>777</v>
      </c>
    </row>
    <row r="266" spans="14:16" ht="12.75">
      <c r="N266" s="168" t="s">
        <v>263</v>
      </c>
      <c r="O266" s="169">
        <v>6767.62</v>
      </c>
      <c r="P266" s="277">
        <v>778</v>
      </c>
    </row>
    <row r="267" spans="14:16" ht="12.75">
      <c r="N267" s="168" t="s">
        <v>264</v>
      </c>
      <c r="O267" s="169">
        <v>7109.89</v>
      </c>
      <c r="P267" s="277">
        <v>781</v>
      </c>
    </row>
    <row r="268" spans="14:16" ht="12.75">
      <c r="N268" s="168" t="s">
        <v>265</v>
      </c>
      <c r="O268" s="169">
        <v>6083.61</v>
      </c>
      <c r="P268" s="277">
        <v>783</v>
      </c>
    </row>
    <row r="269" spans="14:16" ht="12.75">
      <c r="N269" s="168" t="s">
        <v>266</v>
      </c>
      <c r="O269" s="169">
        <v>6584.71</v>
      </c>
      <c r="P269" s="277">
        <v>831</v>
      </c>
    </row>
    <row r="270" spans="14:16" ht="12.75">
      <c r="N270" s="168" t="s">
        <v>267</v>
      </c>
      <c r="O270" s="169">
        <v>8276.54</v>
      </c>
      <c r="P270" s="277">
        <v>832</v>
      </c>
    </row>
    <row r="271" spans="14:16" ht="12.75">
      <c r="N271" s="168" t="s">
        <v>268</v>
      </c>
      <c r="O271" s="169">
        <v>6720.85</v>
      </c>
      <c r="P271" s="277">
        <v>833</v>
      </c>
    </row>
    <row r="272" spans="14:16" ht="12.75">
      <c r="N272" s="168" t="s">
        <v>269</v>
      </c>
      <c r="O272" s="169">
        <v>6776.59</v>
      </c>
      <c r="P272" s="277">
        <v>834</v>
      </c>
    </row>
    <row r="273" spans="14:16" ht="12.75">
      <c r="N273" s="168" t="s">
        <v>270</v>
      </c>
      <c r="O273" s="169">
        <v>5951.16</v>
      </c>
      <c r="P273" s="277">
        <v>837</v>
      </c>
    </row>
    <row r="274" spans="14:16" ht="12.75">
      <c r="N274" s="168" t="s">
        <v>271</v>
      </c>
      <c r="O274" s="169">
        <v>6365.57</v>
      </c>
      <c r="P274" s="277">
        <v>838</v>
      </c>
    </row>
    <row r="275" spans="14:16" ht="12.75">
      <c r="N275" s="168" t="s">
        <v>272</v>
      </c>
      <c r="O275" s="169">
        <v>7277.18</v>
      </c>
      <c r="P275" s="277">
        <v>844</v>
      </c>
    </row>
    <row r="276" spans="14:16" ht="12.75">
      <c r="N276" s="168" t="s">
        <v>273</v>
      </c>
      <c r="O276" s="169">
        <v>8145.86</v>
      </c>
      <c r="P276" s="277">
        <v>845</v>
      </c>
    </row>
    <row r="277" spans="14:16" ht="12.75">
      <c r="N277" s="168" t="s">
        <v>274</v>
      </c>
      <c r="O277" s="169">
        <v>6775.92</v>
      </c>
      <c r="P277" s="277">
        <v>846</v>
      </c>
    </row>
    <row r="278" spans="14:16" ht="12.75">
      <c r="N278" s="168" t="s">
        <v>275</v>
      </c>
      <c r="O278" s="169">
        <v>7195.34</v>
      </c>
      <c r="P278" s="277">
        <v>848</v>
      </c>
    </row>
    <row r="279" spans="14:16" ht="12.75">
      <c r="N279" s="168" t="s">
        <v>276</v>
      </c>
      <c r="O279" s="169">
        <v>7177.8</v>
      </c>
      <c r="P279" s="277">
        <v>849</v>
      </c>
    </row>
    <row r="280" spans="14:16" ht="12.75">
      <c r="N280" s="168" t="s">
        <v>277</v>
      </c>
      <c r="O280" s="169">
        <v>7067.25</v>
      </c>
      <c r="P280" s="277">
        <v>850</v>
      </c>
    </row>
    <row r="281" spans="14:16" ht="12.75">
      <c r="N281" s="168" t="s">
        <v>278</v>
      </c>
      <c r="O281" s="169">
        <v>6379.77</v>
      </c>
      <c r="P281" s="277">
        <v>851</v>
      </c>
    </row>
    <row r="282" spans="14:16" ht="12.75">
      <c r="N282" s="168" t="s">
        <v>279</v>
      </c>
      <c r="O282" s="169">
        <v>6334.46</v>
      </c>
      <c r="P282" s="277">
        <v>853</v>
      </c>
    </row>
    <row r="283" spans="14:16" ht="12.75">
      <c r="N283" s="168" t="s">
        <v>280</v>
      </c>
      <c r="O283" s="169">
        <v>7218.29</v>
      </c>
      <c r="P283" s="277">
        <v>857</v>
      </c>
    </row>
    <row r="284" spans="14:16" ht="12.75">
      <c r="N284" s="168" t="s">
        <v>281</v>
      </c>
      <c r="O284" s="169">
        <v>5880.86</v>
      </c>
      <c r="P284" s="277">
        <v>858</v>
      </c>
    </row>
    <row r="285" spans="14:16" ht="12.75">
      <c r="N285" s="168" t="s">
        <v>282</v>
      </c>
      <c r="O285" s="169">
        <v>6614.13</v>
      </c>
      <c r="P285" s="277">
        <v>859</v>
      </c>
    </row>
    <row r="286" spans="14:16" ht="12.75">
      <c r="N286" s="168" t="s">
        <v>283</v>
      </c>
      <c r="O286" s="169">
        <v>5979.92</v>
      </c>
      <c r="P286" s="277">
        <v>886</v>
      </c>
    </row>
    <row r="287" spans="14:16" ht="12.75">
      <c r="N287" s="168" t="s">
        <v>284</v>
      </c>
      <c r="O287" s="169">
        <v>6753.13</v>
      </c>
      <c r="P287" s="277">
        <v>887</v>
      </c>
    </row>
    <row r="288" spans="14:16" ht="12.75">
      <c r="N288" s="168" t="s">
        <v>285</v>
      </c>
      <c r="O288" s="169">
        <v>8331.64</v>
      </c>
      <c r="P288" s="277">
        <v>889</v>
      </c>
    </row>
    <row r="289" spans="14:16" ht="12.75">
      <c r="N289" s="168" t="s">
        <v>286</v>
      </c>
      <c r="O289" s="169">
        <v>10050.47</v>
      </c>
      <c r="P289" s="277">
        <v>890</v>
      </c>
    </row>
    <row r="290" spans="14:16" ht="12.75">
      <c r="N290" s="168" t="s">
        <v>287</v>
      </c>
      <c r="O290" s="169">
        <v>6796.32</v>
      </c>
      <c r="P290" s="277">
        <v>892</v>
      </c>
    </row>
    <row r="291" spans="14:16" ht="12.75">
      <c r="N291" s="168" t="s">
        <v>288</v>
      </c>
      <c r="O291" s="169">
        <v>7827.09</v>
      </c>
      <c r="P291" s="277">
        <v>893</v>
      </c>
    </row>
    <row r="292" spans="14:16" ht="12.75">
      <c r="N292" s="168" t="s">
        <v>289</v>
      </c>
      <c r="O292" s="169">
        <v>6028.71</v>
      </c>
      <c r="P292" s="277">
        <v>895</v>
      </c>
    </row>
    <row r="293" spans="14:16" ht="12.75">
      <c r="N293" s="168" t="s">
        <v>290</v>
      </c>
      <c r="O293" s="169">
        <v>8010.15</v>
      </c>
      <c r="P293" s="277">
        <v>785</v>
      </c>
    </row>
    <row r="294" spans="14:16" ht="12.75">
      <c r="N294" s="168" t="s">
        <v>291</v>
      </c>
      <c r="O294" s="169">
        <v>6403.02</v>
      </c>
      <c r="P294" s="277">
        <v>905</v>
      </c>
    </row>
    <row r="295" spans="14:16" ht="12.75">
      <c r="N295" s="168" t="s">
        <v>292</v>
      </c>
      <c r="O295" s="169">
        <v>5870.09</v>
      </c>
      <c r="P295" s="277">
        <v>908</v>
      </c>
    </row>
    <row r="296" spans="14:16" ht="12.75">
      <c r="N296" s="168" t="s">
        <v>293</v>
      </c>
      <c r="O296" s="169">
        <v>7901.59</v>
      </c>
      <c r="P296" s="277">
        <v>911</v>
      </c>
    </row>
    <row r="297" spans="14:16" ht="12.75">
      <c r="N297" s="168" t="s">
        <v>294</v>
      </c>
      <c r="O297" s="169">
        <v>6311</v>
      </c>
      <c r="P297" s="277">
        <v>92</v>
      </c>
    </row>
    <row r="298" spans="14:16" ht="12.75">
      <c r="N298" s="168" t="s">
        <v>295</v>
      </c>
      <c r="O298" s="169">
        <v>5876.31</v>
      </c>
      <c r="P298" s="277">
        <v>915</v>
      </c>
    </row>
    <row r="299" spans="14:16" ht="12.75">
      <c r="N299" s="168" t="s">
        <v>296</v>
      </c>
      <c r="O299" s="169">
        <v>6672.69</v>
      </c>
      <c r="P299" s="277">
        <v>918</v>
      </c>
    </row>
    <row r="300" spans="14:16" ht="12.75">
      <c r="N300" s="168" t="s">
        <v>297</v>
      </c>
      <c r="O300" s="169">
        <v>7174.75</v>
      </c>
      <c r="P300" s="277">
        <v>921</v>
      </c>
    </row>
    <row r="301" spans="14:16" ht="12.75">
      <c r="N301" s="168" t="s">
        <v>298</v>
      </c>
      <c r="O301" s="169">
        <v>6550.14</v>
      </c>
      <c r="P301" s="277">
        <v>922</v>
      </c>
    </row>
    <row r="302" spans="14:16" ht="12.75">
      <c r="N302" s="168" t="s">
        <v>299</v>
      </c>
      <c r="O302" s="169">
        <v>7085.73</v>
      </c>
      <c r="P302" s="277">
        <v>924</v>
      </c>
    </row>
    <row r="303" spans="14:16" ht="12.75">
      <c r="N303" s="168" t="s">
        <v>300</v>
      </c>
      <c r="O303" s="169">
        <v>7363.9</v>
      </c>
      <c r="P303" s="277">
        <v>925</v>
      </c>
    </row>
    <row r="304" spans="14:16" ht="12.75">
      <c r="N304" s="168" t="s">
        <v>301</v>
      </c>
      <c r="O304" s="169">
        <v>5884.26</v>
      </c>
      <c r="P304" s="277">
        <v>927</v>
      </c>
    </row>
    <row r="305" spans="14:16" ht="12.75">
      <c r="N305" s="168" t="s">
        <v>302</v>
      </c>
      <c r="O305" s="169">
        <v>7183.6</v>
      </c>
      <c r="P305" s="277">
        <v>931</v>
      </c>
    </row>
    <row r="306" spans="14:16" ht="12.75">
      <c r="N306" s="168" t="s">
        <v>303</v>
      </c>
      <c r="O306" s="169">
        <v>6718.62</v>
      </c>
      <c r="P306" s="277">
        <v>934</v>
      </c>
    </row>
    <row r="307" spans="14:16" ht="12.75">
      <c r="N307" s="168" t="s">
        <v>304</v>
      </c>
      <c r="O307" s="169">
        <v>6903.87</v>
      </c>
      <c r="P307" s="277">
        <v>935</v>
      </c>
    </row>
    <row r="308" spans="14:16" ht="12.75">
      <c r="N308" s="168" t="s">
        <v>305</v>
      </c>
      <c r="O308" s="169">
        <v>7134.39</v>
      </c>
      <c r="P308" s="277">
        <v>936</v>
      </c>
    </row>
    <row r="309" spans="14:16" ht="12.75">
      <c r="N309" s="168" t="s">
        <v>306</v>
      </c>
      <c r="O309" s="169">
        <v>7919.4</v>
      </c>
      <c r="P309" s="277">
        <v>946</v>
      </c>
    </row>
    <row r="310" spans="14:16" ht="12.75">
      <c r="N310" s="168" t="s">
        <v>307</v>
      </c>
      <c r="O310" s="169">
        <v>8105.09</v>
      </c>
      <c r="P310" s="277">
        <v>976</v>
      </c>
    </row>
    <row r="311" spans="14:16" ht="12.75">
      <c r="N311" s="168" t="s">
        <v>308</v>
      </c>
      <c r="O311" s="169">
        <v>6171.1</v>
      </c>
      <c r="P311" s="277">
        <v>977</v>
      </c>
    </row>
    <row r="312" spans="14:16" ht="12.75">
      <c r="N312" s="168" t="s">
        <v>309</v>
      </c>
      <c r="O312" s="169">
        <v>6118.21</v>
      </c>
      <c r="P312" s="277">
        <v>980</v>
      </c>
    </row>
    <row r="313" spans="14:16" ht="12.75">
      <c r="N313" s="168" t="s">
        <v>310</v>
      </c>
      <c r="O313" s="169">
        <v>6582.01</v>
      </c>
      <c r="P313" s="277">
        <v>981</v>
      </c>
    </row>
    <row r="314" spans="14:16" ht="12.75">
      <c r="N314" s="168" t="s">
        <v>311</v>
      </c>
      <c r="O314" s="169">
        <v>6960.84</v>
      </c>
      <c r="P314" s="277">
        <v>989</v>
      </c>
    </row>
    <row r="315" spans="14:16" ht="12.75">
      <c r="N315" s="168" t="s">
        <v>312</v>
      </c>
      <c r="O315" s="169">
        <v>6237.03</v>
      </c>
      <c r="P315" s="277">
        <v>992</v>
      </c>
    </row>
    <row r="316" ht="12.75">
      <c r="P316" s="277"/>
    </row>
  </sheetData>
  <sheetProtection/>
  <protectedRanges>
    <protectedRange sqref="J24:K163" name="Alue3"/>
    <protectedRange sqref="F24:G163" name="Alue2"/>
    <protectedRange sqref="F13:F15" name="Alue1"/>
  </protectedRanges>
  <mergeCells count="41">
    <mergeCell ref="A3:L3"/>
    <mergeCell ref="F24:G24"/>
    <mergeCell ref="J24:K24"/>
    <mergeCell ref="F31:G31"/>
    <mergeCell ref="J31:K31"/>
    <mergeCell ref="F38:G38"/>
    <mergeCell ref="J38:K38"/>
    <mergeCell ref="F45:G45"/>
    <mergeCell ref="J45:K45"/>
    <mergeCell ref="F52:G52"/>
    <mergeCell ref="J52:K52"/>
    <mergeCell ref="F59:G59"/>
    <mergeCell ref="J59:K59"/>
    <mergeCell ref="F66:G66"/>
    <mergeCell ref="J66:K66"/>
    <mergeCell ref="F73:G73"/>
    <mergeCell ref="J73:K73"/>
    <mergeCell ref="F80:G80"/>
    <mergeCell ref="J80:K80"/>
    <mergeCell ref="F87:G87"/>
    <mergeCell ref="J87:K87"/>
    <mergeCell ref="F94:G94"/>
    <mergeCell ref="J94:K94"/>
    <mergeCell ref="F101:G101"/>
    <mergeCell ref="J101:K101"/>
    <mergeCell ref="F108:G108"/>
    <mergeCell ref="J108:K108"/>
    <mergeCell ref="F115:G115"/>
    <mergeCell ref="J115:K115"/>
    <mergeCell ref="F122:G122"/>
    <mergeCell ref="J122:K122"/>
    <mergeCell ref="F150:G150"/>
    <mergeCell ref="J150:K150"/>
    <mergeCell ref="F157:G157"/>
    <mergeCell ref="J157:K157"/>
    <mergeCell ref="F129:G129"/>
    <mergeCell ref="J129:K129"/>
    <mergeCell ref="F136:G136"/>
    <mergeCell ref="J136:K136"/>
    <mergeCell ref="F143:G143"/>
    <mergeCell ref="J143:K143"/>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8" tint="0.39998000860214233"/>
    <pageSetUpPr fitToPage="1"/>
  </sheetPr>
  <dimension ref="A1:K88"/>
  <sheetViews>
    <sheetView tabSelected="1" zoomScalePageLayoutView="0" workbookViewId="0" topLeftCell="A1">
      <selection activeCell="A1" sqref="A1"/>
    </sheetView>
  </sheetViews>
  <sheetFormatPr defaultColWidth="9.140625" defaultRowHeight="12.75"/>
  <cols>
    <col min="1" max="4" width="2.7109375" style="0" customWidth="1"/>
    <col min="5" max="5" width="25.00390625" style="0" customWidth="1"/>
    <col min="6" max="6" width="9.140625" style="0" customWidth="1"/>
    <col min="7" max="7" width="13.7109375" style="0" customWidth="1"/>
    <col min="8" max="8" width="10.8515625" style="0" customWidth="1"/>
    <col min="9" max="9" width="8.00390625" style="0" customWidth="1"/>
    <col min="10" max="10" width="8.8515625" style="0" customWidth="1"/>
    <col min="11" max="11" width="12.7109375" style="0" customWidth="1"/>
  </cols>
  <sheetData>
    <row r="1" spans="1:11" ht="15.75">
      <c r="A1" s="106" t="s">
        <v>381</v>
      </c>
      <c r="E1" s="34"/>
      <c r="F1" s="8"/>
      <c r="G1" s="8"/>
      <c r="H1" s="8"/>
      <c r="I1" s="8"/>
      <c r="J1" s="8"/>
      <c r="K1" s="139" t="s">
        <v>315</v>
      </c>
    </row>
    <row r="2" spans="5:11" ht="12.75">
      <c r="E2" s="81"/>
      <c r="F2" s="8"/>
      <c r="G2" s="8"/>
      <c r="H2" s="8"/>
      <c r="I2" s="8"/>
      <c r="J2" s="8"/>
      <c r="K2" s="8"/>
    </row>
    <row r="3" spans="2:11" ht="18">
      <c r="B3" s="336" t="s">
        <v>551</v>
      </c>
      <c r="C3" s="337"/>
      <c r="D3" s="337"/>
      <c r="E3" s="337"/>
      <c r="F3" s="337"/>
      <c r="G3" s="337"/>
      <c r="H3" s="337"/>
      <c r="I3" s="337"/>
      <c r="J3" s="337"/>
      <c r="K3" s="338"/>
    </row>
    <row r="4" spans="5:10" ht="12.75">
      <c r="E4" s="8"/>
      <c r="F4" s="8"/>
      <c r="G4" s="8"/>
      <c r="H4" s="8"/>
      <c r="I4" s="8"/>
      <c r="J4" s="8"/>
    </row>
    <row r="5" spans="2:11" ht="12.75">
      <c r="B5" s="74" t="s">
        <v>418</v>
      </c>
      <c r="C5" s="33"/>
      <c r="D5" s="33"/>
      <c r="E5" s="47"/>
      <c r="F5" s="75" t="s">
        <v>419</v>
      </c>
      <c r="G5" s="8"/>
      <c r="H5" s="8"/>
      <c r="I5" s="8"/>
      <c r="J5" s="8"/>
      <c r="K5" s="8"/>
    </row>
    <row r="6" spans="2:11" ht="12.75">
      <c r="B6" s="33"/>
      <c r="C6" s="33"/>
      <c r="D6" s="33"/>
      <c r="E6" s="134"/>
      <c r="F6" s="75" t="s">
        <v>420</v>
      </c>
      <c r="G6" s="8"/>
      <c r="H6" s="8"/>
      <c r="I6" s="8"/>
      <c r="J6" s="8"/>
      <c r="K6" s="8"/>
    </row>
    <row r="7" spans="2:11" ht="12.75">
      <c r="B7" s="33"/>
      <c r="C7" s="33"/>
      <c r="D7" s="33"/>
      <c r="E7" s="8"/>
      <c r="F7" s="75"/>
      <c r="G7" s="8"/>
      <c r="H7" s="8"/>
      <c r="I7" s="8"/>
      <c r="J7" s="8"/>
      <c r="K7" s="8"/>
    </row>
    <row r="8" spans="2:11" ht="12.75">
      <c r="B8" s="272" t="s">
        <v>592</v>
      </c>
      <c r="C8" s="33"/>
      <c r="D8" s="33"/>
      <c r="E8" s="8"/>
      <c r="F8" s="75"/>
      <c r="G8" s="8"/>
      <c r="H8" s="8"/>
      <c r="I8" s="8"/>
      <c r="J8" s="8"/>
      <c r="K8" s="8"/>
    </row>
    <row r="9" spans="5:11" ht="12.75">
      <c r="E9" s="8"/>
      <c r="F9" s="271"/>
      <c r="G9" s="8"/>
      <c r="H9" s="8"/>
      <c r="I9" s="8"/>
      <c r="J9" s="8"/>
      <c r="K9" s="8"/>
    </row>
    <row r="10" spans="2:11" ht="12.75">
      <c r="B10" s="110" t="s">
        <v>388</v>
      </c>
      <c r="E10" s="31"/>
      <c r="F10" s="11" t="str">
        <f>'2. Sammandrag'!G12</f>
        <v>Akaa</v>
      </c>
      <c r="G10" s="9"/>
      <c r="H10" s="8"/>
      <c r="I10" s="8"/>
      <c r="J10" s="8"/>
      <c r="K10" s="8"/>
    </row>
    <row r="11" spans="2:11" ht="12.75">
      <c r="B11" s="110" t="s">
        <v>389</v>
      </c>
      <c r="E11" s="8"/>
      <c r="F11" s="208">
        <f>'2. Sammandrag'!H13</f>
        <v>17091</v>
      </c>
      <c r="G11" s="81"/>
      <c r="H11" s="8"/>
      <c r="I11" s="8"/>
      <c r="J11" s="8"/>
      <c r="K11" s="31"/>
    </row>
    <row r="12" spans="3:11" ht="12.75">
      <c r="C12" s="41" t="s">
        <v>552</v>
      </c>
      <c r="F12" s="35"/>
      <c r="G12" s="8"/>
      <c r="H12" s="8"/>
      <c r="I12" s="8"/>
      <c r="J12" s="8"/>
      <c r="K12" s="31"/>
    </row>
    <row r="13" spans="2:11" ht="14.25">
      <c r="B13" s="33" t="s">
        <v>553</v>
      </c>
      <c r="F13" s="35"/>
      <c r="G13" s="8" t="s">
        <v>554</v>
      </c>
      <c r="H13" s="8"/>
      <c r="I13" s="8"/>
      <c r="J13" s="8"/>
      <c r="K13" s="31"/>
    </row>
    <row r="14" spans="5:11" ht="12.75">
      <c r="E14" s="8"/>
      <c r="F14" s="9"/>
      <c r="G14" s="8"/>
      <c r="H14" s="8"/>
      <c r="I14" s="8"/>
      <c r="J14" s="8"/>
      <c r="K14" s="8"/>
    </row>
    <row r="15" spans="2:11" ht="12.75">
      <c r="B15" s="31" t="s">
        <v>593</v>
      </c>
      <c r="F15" s="8"/>
      <c r="G15" s="8"/>
      <c r="H15" s="8"/>
      <c r="I15" s="8"/>
      <c r="J15" s="8"/>
      <c r="K15" s="22"/>
    </row>
    <row r="16" spans="5:11" ht="12.75">
      <c r="E16" s="41"/>
      <c r="F16" s="80"/>
      <c r="G16" s="8"/>
      <c r="H16" s="99"/>
      <c r="I16" s="99"/>
      <c r="J16" s="8"/>
      <c r="K16" s="22"/>
    </row>
    <row r="17" spans="3:11" ht="12.75">
      <c r="C17" s="33" t="s">
        <v>555</v>
      </c>
      <c r="G17" s="97" t="s">
        <v>556</v>
      </c>
      <c r="J17" s="8"/>
      <c r="K17" s="42">
        <f>'10. Gymnasium'!J52</f>
        <v>0</v>
      </c>
    </row>
    <row r="18" spans="3:11" ht="12.75">
      <c r="C18" s="33" t="s">
        <v>557</v>
      </c>
      <c r="F18" s="8"/>
      <c r="G18" s="156" t="s">
        <v>558</v>
      </c>
      <c r="J18" s="8"/>
      <c r="K18" s="35"/>
    </row>
    <row r="19" spans="3:11" ht="12.75">
      <c r="C19" s="33" t="s">
        <v>559</v>
      </c>
      <c r="F19" s="8"/>
      <c r="G19" s="156" t="s">
        <v>558</v>
      </c>
      <c r="J19" s="8"/>
      <c r="K19" s="35"/>
    </row>
    <row r="20" spans="3:11" ht="12.75">
      <c r="C20" s="33" t="s">
        <v>560</v>
      </c>
      <c r="F20" s="8"/>
      <c r="G20" s="156" t="s">
        <v>558</v>
      </c>
      <c r="J20" s="8"/>
      <c r="K20" s="35"/>
    </row>
    <row r="21" spans="3:11" ht="12.75">
      <c r="C21" s="33" t="s">
        <v>561</v>
      </c>
      <c r="F21" s="8"/>
      <c r="G21" s="156" t="s">
        <v>558</v>
      </c>
      <c r="J21" s="8"/>
      <c r="K21" s="35"/>
    </row>
    <row r="22" spans="3:11" ht="12.75">
      <c r="C22" s="33" t="s">
        <v>562</v>
      </c>
      <c r="F22" s="8"/>
      <c r="G22" s="8"/>
      <c r="H22" s="8"/>
      <c r="I22" s="8"/>
      <c r="J22" s="8"/>
      <c r="K22" s="35"/>
    </row>
    <row r="23" spans="5:11" ht="12.75">
      <c r="E23" s="8"/>
      <c r="F23" s="8"/>
      <c r="G23" s="8"/>
      <c r="H23" s="8"/>
      <c r="I23" s="8"/>
      <c r="J23" s="8"/>
      <c r="K23" s="22"/>
    </row>
    <row r="24" spans="2:11" ht="12.75">
      <c r="B24" s="12" t="s">
        <v>563</v>
      </c>
      <c r="C24" s="176"/>
      <c r="D24" s="176"/>
      <c r="E24" s="176"/>
      <c r="F24" s="9"/>
      <c r="G24" s="9"/>
      <c r="H24" s="9"/>
      <c r="I24" s="9"/>
      <c r="J24" s="9"/>
      <c r="K24" s="141">
        <f>SUM(K16:K22)</f>
        <v>0</v>
      </c>
    </row>
    <row r="25" spans="5:11" ht="12.75">
      <c r="E25" s="8"/>
      <c r="F25" s="8"/>
      <c r="G25" s="8"/>
      <c r="H25" s="8"/>
      <c r="I25" s="8"/>
      <c r="J25" s="8"/>
      <c r="K25" s="22"/>
    </row>
    <row r="26" spans="2:11" ht="12.75">
      <c r="B26" s="31" t="s">
        <v>564</v>
      </c>
      <c r="G26" s="187">
        <v>367.74</v>
      </c>
      <c r="H26" s="8" t="s">
        <v>400</v>
      </c>
      <c r="I26" s="8"/>
      <c r="J26" s="22">
        <f>F11</f>
        <v>17091</v>
      </c>
      <c r="K26" s="19">
        <f>-G26*J26</f>
        <v>-6285044.34</v>
      </c>
    </row>
    <row r="27" spans="2:11" ht="12.75">
      <c r="B27" s="31"/>
      <c r="C27" s="87" t="s">
        <v>565</v>
      </c>
      <c r="G27" s="8"/>
      <c r="H27" s="8"/>
      <c r="I27" s="8"/>
      <c r="J27" s="22"/>
      <c r="K27" s="19"/>
    </row>
    <row r="28" spans="5:11" ht="12.75">
      <c r="E28" s="31"/>
      <c r="F28" s="43"/>
      <c r="G28" s="8"/>
      <c r="H28" s="22"/>
      <c r="I28" s="22"/>
      <c r="J28" s="8"/>
      <c r="K28" s="19"/>
    </row>
    <row r="29" spans="2:11" ht="12.75">
      <c r="B29" s="330" t="s">
        <v>566</v>
      </c>
      <c r="C29" s="118"/>
      <c r="D29" s="118"/>
      <c r="E29" s="118"/>
      <c r="F29" s="149"/>
      <c r="G29" s="148"/>
      <c r="H29" s="178"/>
      <c r="I29" s="178"/>
      <c r="J29" s="148"/>
      <c r="K29" s="150">
        <f>K24+K26</f>
        <v>-6285044.34</v>
      </c>
    </row>
    <row r="30" spans="5:11" ht="12.75">
      <c r="E30" s="8"/>
      <c r="F30" s="8"/>
      <c r="G30" s="8"/>
      <c r="H30" s="8"/>
      <c r="I30" s="8"/>
      <c r="J30" s="8"/>
      <c r="K30" s="22"/>
    </row>
    <row r="31" ht="14.25">
      <c r="E31" s="54"/>
    </row>
    <row r="32" spans="2:11" ht="12.75">
      <c r="B32" s="31" t="s">
        <v>567</v>
      </c>
      <c r="F32" s="8"/>
      <c r="G32" s="8"/>
      <c r="H32" s="8"/>
      <c r="I32" s="8"/>
      <c r="J32" s="8"/>
      <c r="K32" s="38"/>
    </row>
    <row r="33" spans="5:11" ht="12.75">
      <c r="E33" s="8"/>
      <c r="F33" s="8"/>
      <c r="G33" s="8"/>
      <c r="H33" s="8"/>
      <c r="I33" s="8"/>
      <c r="J33" s="8"/>
      <c r="K33" s="22"/>
    </row>
    <row r="34" spans="3:11" ht="12.75">
      <c r="C34" s="2"/>
      <c r="D34" s="2"/>
      <c r="E34" s="58"/>
      <c r="F34" s="179" t="s">
        <v>581</v>
      </c>
      <c r="G34" s="140"/>
      <c r="H34" s="140"/>
      <c r="I34" s="179" t="s">
        <v>582</v>
      </c>
      <c r="J34" s="140" t="s">
        <v>583</v>
      </c>
      <c r="K34" s="180"/>
    </row>
    <row r="35" spans="3:11" ht="12.75">
      <c r="C35" s="2"/>
      <c r="D35" s="2"/>
      <c r="E35" s="58"/>
      <c r="F35" s="179" t="s">
        <v>584</v>
      </c>
      <c r="G35" s="140" t="s">
        <v>585</v>
      </c>
      <c r="H35" s="140"/>
      <c r="I35" s="179" t="s">
        <v>422</v>
      </c>
      <c r="J35" s="140" t="s">
        <v>586</v>
      </c>
      <c r="K35" s="140" t="s">
        <v>413</v>
      </c>
    </row>
    <row r="36" spans="3:11" ht="12.75">
      <c r="C36" s="31" t="s">
        <v>568</v>
      </c>
      <c r="F36" s="8"/>
      <c r="J36" s="8"/>
      <c r="K36" s="22"/>
    </row>
    <row r="37" spans="4:11" ht="12.75">
      <c r="D37" s="8" t="s">
        <v>569</v>
      </c>
      <c r="F37" s="129">
        <v>7300.44</v>
      </c>
      <c r="G37" s="156" t="s">
        <v>587</v>
      </c>
      <c r="I37" s="35"/>
      <c r="J37" s="8">
        <v>2.41</v>
      </c>
      <c r="K37" s="22">
        <f>F37*I37*J37</f>
        <v>0</v>
      </c>
    </row>
    <row r="38" spans="4:11" ht="12.75">
      <c r="D38" s="8" t="s">
        <v>570</v>
      </c>
      <c r="F38" s="80">
        <f>F37</f>
        <v>7300.44</v>
      </c>
      <c r="G38" s="156" t="s">
        <v>587</v>
      </c>
      <c r="I38" s="35"/>
      <c r="J38" s="8">
        <v>3.86</v>
      </c>
      <c r="K38" s="22">
        <f>F38*I38*J38</f>
        <v>0</v>
      </c>
    </row>
    <row r="39" spans="5:11" ht="12.75">
      <c r="E39" s="8"/>
      <c r="F39" s="8"/>
      <c r="G39" s="87"/>
      <c r="J39" s="8"/>
      <c r="K39" s="22"/>
    </row>
    <row r="40" spans="3:11" ht="12.75">
      <c r="C40" s="31" t="s">
        <v>571</v>
      </c>
      <c r="F40" s="60">
        <f>INDEX(kkkpo,MATCH(F10,kuntanimi,0),1,1)</f>
        <v>5865.74</v>
      </c>
      <c r="G40" s="156" t="s">
        <v>588</v>
      </c>
      <c r="I40" s="35"/>
      <c r="J40" s="8">
        <v>1.21</v>
      </c>
      <c r="K40" s="22">
        <f>F40*I40*J40</f>
        <v>0</v>
      </c>
    </row>
    <row r="41" spans="5:11" ht="12.75">
      <c r="E41" s="31"/>
      <c r="F41" s="80"/>
      <c r="G41" s="156"/>
      <c r="I41" s="38"/>
      <c r="J41" s="8"/>
      <c r="K41" s="22"/>
    </row>
    <row r="42" spans="3:11" ht="14.25">
      <c r="C42" s="31" t="s">
        <v>572</v>
      </c>
      <c r="F42" s="129">
        <v>3727.49</v>
      </c>
      <c r="G42" s="156" t="s">
        <v>589</v>
      </c>
      <c r="I42" s="35"/>
      <c r="J42" s="84" t="s">
        <v>4</v>
      </c>
      <c r="K42" s="22">
        <f>F42*I42</f>
        <v>0</v>
      </c>
    </row>
    <row r="43" spans="3:11" ht="12.75">
      <c r="C43" s="31"/>
      <c r="F43" s="80"/>
      <c r="G43" s="156"/>
      <c r="I43" s="38"/>
      <c r="J43" s="8"/>
      <c r="K43" s="22"/>
    </row>
    <row r="44" spans="3:11" ht="12.75">
      <c r="C44" s="31" t="s">
        <v>573</v>
      </c>
      <c r="F44" s="80"/>
      <c r="G44" s="156"/>
      <c r="I44" s="38"/>
      <c r="J44" s="8"/>
      <c r="K44" s="22"/>
    </row>
    <row r="45" spans="3:11" ht="12.75">
      <c r="C45" s="31" t="s">
        <v>574</v>
      </c>
      <c r="D45" s="31"/>
      <c r="F45" s="129">
        <v>3476.85</v>
      </c>
      <c r="G45" s="156" t="s">
        <v>589</v>
      </c>
      <c r="I45" s="35"/>
      <c r="J45" s="8"/>
      <c r="K45" s="22">
        <f>F45*I45</f>
        <v>0</v>
      </c>
    </row>
    <row r="46" spans="6:11" ht="12.75">
      <c r="F46" s="8"/>
      <c r="G46" s="156"/>
      <c r="J46" s="8"/>
      <c r="K46" s="22"/>
    </row>
    <row r="47" spans="3:7" ht="12.75">
      <c r="C47" s="31" t="s">
        <v>575</v>
      </c>
      <c r="G47" s="87"/>
    </row>
    <row r="48" spans="3:11" ht="12.75">
      <c r="C48" s="31" t="s">
        <v>576</v>
      </c>
      <c r="D48" s="31"/>
      <c r="F48" s="80">
        <f>F40</f>
        <v>5865.74</v>
      </c>
      <c r="G48" s="156" t="s">
        <v>588</v>
      </c>
      <c r="I48" s="35"/>
      <c r="J48" s="8">
        <v>2.39</v>
      </c>
      <c r="K48" s="22">
        <f>F48*I48*J48</f>
        <v>0</v>
      </c>
    </row>
    <row r="49" spans="6:11" ht="12.75">
      <c r="F49" s="8"/>
      <c r="G49" s="156"/>
      <c r="K49" s="22"/>
    </row>
    <row r="50" spans="3:7" ht="12.75">
      <c r="C50" s="31" t="s">
        <v>577</v>
      </c>
      <c r="G50" s="87"/>
    </row>
    <row r="51" spans="4:11" ht="12.75">
      <c r="D51" s="33" t="s">
        <v>578</v>
      </c>
      <c r="F51" s="80">
        <f>F40</f>
        <v>5865.74</v>
      </c>
      <c r="G51" s="156" t="s">
        <v>588</v>
      </c>
      <c r="I51" s="35"/>
      <c r="J51" s="8">
        <v>1.35</v>
      </c>
      <c r="K51" s="22">
        <f>F51*I51*J51</f>
        <v>0</v>
      </c>
    </row>
    <row r="52" spans="4:11" ht="12.75">
      <c r="D52" s="33" t="s">
        <v>579</v>
      </c>
      <c r="F52" s="80">
        <f>F40</f>
        <v>5865.74</v>
      </c>
      <c r="G52" s="156" t="s">
        <v>588</v>
      </c>
      <c r="I52" s="35"/>
      <c r="J52" s="8">
        <v>0.51</v>
      </c>
      <c r="K52" s="22">
        <f>F52*I52*J51*J52</f>
        <v>0</v>
      </c>
    </row>
    <row r="53" spans="5:11" ht="12.75">
      <c r="E53" s="8"/>
      <c r="F53" s="8"/>
      <c r="G53" s="156"/>
      <c r="J53" s="8"/>
      <c r="K53" s="22"/>
    </row>
    <row r="54" spans="3:11" ht="12.75">
      <c r="C54" s="31" t="s">
        <v>580</v>
      </c>
      <c r="F54" s="331">
        <v>11131.17</v>
      </c>
      <c r="G54" s="156" t="s">
        <v>590</v>
      </c>
      <c r="I54" s="35"/>
      <c r="J54" s="8">
        <v>0.26</v>
      </c>
      <c r="K54" s="22">
        <f>F54*I54*J54</f>
        <v>0</v>
      </c>
    </row>
    <row r="55" spans="5:11" ht="12.75">
      <c r="E55" s="8"/>
      <c r="F55" s="8"/>
      <c r="G55" s="8"/>
      <c r="H55" s="8"/>
      <c r="I55" s="8"/>
      <c r="J55" s="8"/>
      <c r="K55" s="22"/>
    </row>
    <row r="56" spans="2:11" ht="12.75">
      <c r="B56" s="281" t="s">
        <v>591</v>
      </c>
      <c r="C56" s="118"/>
      <c r="D56" s="118"/>
      <c r="E56" s="147"/>
      <c r="F56" s="148"/>
      <c r="G56" s="148"/>
      <c r="H56" s="148"/>
      <c r="I56" s="148"/>
      <c r="J56" s="148"/>
      <c r="K56" s="150">
        <f>SUM(K37:K55)</f>
        <v>0</v>
      </c>
    </row>
    <row r="57" spans="5:11" ht="12.75">
      <c r="E57" s="8"/>
      <c r="F57" s="8"/>
      <c r="G57" s="8"/>
      <c r="H57" s="8"/>
      <c r="I57" s="8"/>
      <c r="J57" s="8"/>
      <c r="K57" s="22"/>
    </row>
    <row r="58" ht="14.25">
      <c r="B58" s="181" t="s">
        <v>594</v>
      </c>
    </row>
    <row r="59" ht="14.25">
      <c r="E59" s="54"/>
    </row>
    <row r="60" spans="5:11" ht="14.25">
      <c r="E60" s="54"/>
      <c r="K60" s="182" t="s">
        <v>604</v>
      </c>
    </row>
    <row r="61" spans="2:11" ht="12.75">
      <c r="B61" s="31" t="s">
        <v>595</v>
      </c>
      <c r="E61" s="31"/>
      <c r="F61" s="31"/>
      <c r="G61" s="8"/>
      <c r="H61" s="31"/>
      <c r="I61" s="31"/>
      <c r="J61" s="31"/>
      <c r="K61" s="8"/>
    </row>
    <row r="62" spans="5:11" ht="12.75">
      <c r="E62" s="8"/>
      <c r="F62" s="31"/>
      <c r="G62" s="8"/>
      <c r="H62" s="31"/>
      <c r="I62" s="31"/>
      <c r="J62" s="31"/>
      <c r="K62" s="8"/>
    </row>
    <row r="63" spans="3:11" ht="12.75">
      <c r="C63" s="2"/>
      <c r="D63" s="2"/>
      <c r="E63" s="58"/>
      <c r="F63" s="179" t="s">
        <v>596</v>
      </c>
      <c r="G63" s="179"/>
      <c r="H63" s="179" t="s">
        <v>597</v>
      </c>
      <c r="I63" s="179" t="s">
        <v>598</v>
      </c>
      <c r="J63" s="179" t="s">
        <v>599</v>
      </c>
      <c r="K63" s="180"/>
    </row>
    <row r="64" spans="3:11" ht="12.75">
      <c r="C64" s="2"/>
      <c r="D64" s="2"/>
      <c r="E64" s="58"/>
      <c r="F64" s="179" t="s">
        <v>600</v>
      </c>
      <c r="G64" s="179" t="s">
        <v>584</v>
      </c>
      <c r="H64" s="179" t="s">
        <v>601</v>
      </c>
      <c r="I64" s="179" t="s">
        <v>602</v>
      </c>
      <c r="J64" s="179" t="s">
        <v>603</v>
      </c>
      <c r="K64" s="140" t="s">
        <v>413</v>
      </c>
    </row>
    <row r="65" spans="5:11" ht="12.75">
      <c r="E65" s="8"/>
      <c r="F65" s="31"/>
      <c r="G65" s="8"/>
      <c r="H65" s="31"/>
      <c r="I65" s="31"/>
      <c r="J65" s="31"/>
      <c r="K65" s="8"/>
    </row>
    <row r="66" spans="3:11" ht="12.75">
      <c r="C66" s="31" t="s">
        <v>661</v>
      </c>
      <c r="F66" s="188">
        <v>25</v>
      </c>
      <c r="G66" s="156" t="s">
        <v>605</v>
      </c>
      <c r="H66" s="47"/>
      <c r="I66" s="37">
        <v>0.57</v>
      </c>
      <c r="J66" s="31"/>
      <c r="K66" s="22">
        <f>F66*H66*I66</f>
        <v>0</v>
      </c>
    </row>
    <row r="67" spans="5:11" ht="12.75">
      <c r="E67" s="33"/>
      <c r="F67" s="30"/>
      <c r="G67" s="156"/>
      <c r="H67" s="8"/>
      <c r="I67" s="8"/>
      <c r="J67" s="8"/>
      <c r="K67" s="22"/>
    </row>
    <row r="68" spans="3:11" ht="12.75">
      <c r="C68" s="31" t="s">
        <v>654</v>
      </c>
      <c r="F68" s="29">
        <f>IF(F13&gt;100,F69*0.15,0)</f>
        <v>0</v>
      </c>
      <c r="G68" s="156"/>
      <c r="H68" s="8"/>
      <c r="I68" s="8"/>
      <c r="J68" s="8"/>
      <c r="K68" s="22"/>
    </row>
    <row r="69" spans="4:10" ht="12.75">
      <c r="D69" s="33" t="s">
        <v>652</v>
      </c>
      <c r="F69" s="130">
        <v>82.32</v>
      </c>
      <c r="G69" s="156" t="s">
        <v>606</v>
      </c>
      <c r="J69" s="190">
        <v>0.950724</v>
      </c>
    </row>
    <row r="70" spans="4:11" ht="12.75">
      <c r="D70" s="33" t="s">
        <v>653</v>
      </c>
      <c r="F70" s="30">
        <f>ROUND((F68+F69)*J69,2)</f>
        <v>78.26</v>
      </c>
      <c r="G70" s="156"/>
      <c r="H70" s="35"/>
      <c r="I70" s="39">
        <v>0.57</v>
      </c>
      <c r="J70" s="8"/>
      <c r="K70" s="22">
        <f>F70*H70*I70</f>
        <v>0</v>
      </c>
    </row>
    <row r="71" spans="5:11" ht="12.75">
      <c r="E71" s="8"/>
      <c r="F71" s="30"/>
      <c r="G71" s="156"/>
      <c r="H71" s="8"/>
      <c r="I71" s="8"/>
      <c r="J71" s="8"/>
      <c r="K71" s="22"/>
    </row>
    <row r="72" spans="3:11" ht="12.75">
      <c r="C72" s="31" t="s">
        <v>655</v>
      </c>
      <c r="F72" s="30"/>
      <c r="G72" s="156"/>
      <c r="H72" s="8"/>
      <c r="I72" s="8"/>
      <c r="J72" s="8"/>
      <c r="K72" s="22"/>
    </row>
    <row r="73" spans="4:11" ht="12.75">
      <c r="D73" s="8" t="s">
        <v>656</v>
      </c>
      <c r="F73" s="130">
        <v>74.66</v>
      </c>
      <c r="G73" s="156" t="s">
        <v>606</v>
      </c>
      <c r="H73" s="35"/>
      <c r="I73" s="39">
        <v>0.57</v>
      </c>
      <c r="J73" s="30"/>
      <c r="K73" s="22">
        <f>F73*H73*I73</f>
        <v>0</v>
      </c>
    </row>
    <row r="74" spans="5:11" ht="12.75">
      <c r="E74" s="8"/>
      <c r="F74" s="8"/>
      <c r="G74" s="156"/>
      <c r="H74" s="8"/>
      <c r="I74" s="8"/>
      <c r="J74" s="8"/>
      <c r="K74" s="22"/>
    </row>
    <row r="75" spans="3:11" ht="12.75">
      <c r="C75" s="31" t="s">
        <v>660</v>
      </c>
      <c r="F75" s="130">
        <v>12</v>
      </c>
      <c r="G75" s="156" t="s">
        <v>400</v>
      </c>
      <c r="H75" s="22">
        <f>$F$11</f>
        <v>17091</v>
      </c>
      <c r="I75" s="40">
        <v>0.297</v>
      </c>
      <c r="J75" s="30"/>
      <c r="K75" s="22">
        <f>F75*H75*I75</f>
        <v>60912.324</v>
      </c>
    </row>
    <row r="76" spans="3:11" ht="12.75">
      <c r="C76" s="8"/>
      <c r="F76" s="8"/>
      <c r="G76" s="156"/>
      <c r="H76" s="8"/>
      <c r="I76" s="8"/>
      <c r="J76" s="30"/>
      <c r="K76" s="22"/>
    </row>
    <row r="77" spans="3:11" ht="12.75">
      <c r="C77" s="31" t="s">
        <v>662</v>
      </c>
      <c r="F77" s="130">
        <v>15</v>
      </c>
      <c r="G77" s="156" t="s">
        <v>607</v>
      </c>
      <c r="H77" s="38">
        <f>F12</f>
        <v>0</v>
      </c>
      <c r="I77" s="40">
        <v>0.297</v>
      </c>
      <c r="J77" s="30"/>
      <c r="K77" s="22">
        <f>F77*H77*I77</f>
        <v>0</v>
      </c>
    </row>
    <row r="78" spans="3:11" ht="12.75">
      <c r="C78" s="8"/>
      <c r="F78" s="8"/>
      <c r="G78" s="156"/>
      <c r="H78" s="8"/>
      <c r="I78" s="8"/>
      <c r="J78" s="30"/>
      <c r="K78" s="22"/>
    </row>
    <row r="79" spans="3:11" ht="12.75">
      <c r="C79" s="31" t="s">
        <v>657</v>
      </c>
      <c r="F79" s="189">
        <v>67313</v>
      </c>
      <c r="G79" s="156" t="s">
        <v>608</v>
      </c>
      <c r="H79" s="35"/>
      <c r="I79" s="39">
        <v>0.37</v>
      </c>
      <c r="J79" s="30"/>
      <c r="K79" s="22">
        <f>F79*H79*I79</f>
        <v>0</v>
      </c>
    </row>
    <row r="80" spans="3:11" ht="12.75">
      <c r="C80" s="8"/>
      <c r="F80" s="8"/>
      <c r="G80" s="156"/>
      <c r="H80" s="22"/>
      <c r="I80" s="8"/>
      <c r="J80" s="30"/>
      <c r="K80" s="22"/>
    </row>
    <row r="81" spans="3:11" ht="12.75">
      <c r="C81" s="31" t="s">
        <v>658</v>
      </c>
      <c r="F81" s="189">
        <v>54439</v>
      </c>
      <c r="G81" s="156" t="s">
        <v>608</v>
      </c>
      <c r="H81" s="35"/>
      <c r="I81" s="39">
        <v>0.37</v>
      </c>
      <c r="J81" s="30"/>
      <c r="K81" s="22">
        <f>F81*H81*I81</f>
        <v>0</v>
      </c>
    </row>
    <row r="82" spans="3:11" ht="12.75">
      <c r="C82" s="8"/>
      <c r="F82" s="8"/>
      <c r="G82" s="156"/>
      <c r="H82" s="22"/>
      <c r="I82" s="8"/>
      <c r="J82" s="30"/>
      <c r="K82" s="22"/>
    </row>
    <row r="83" spans="3:11" ht="12.75">
      <c r="C83" s="31" t="s">
        <v>659</v>
      </c>
      <c r="F83" s="189">
        <v>53965</v>
      </c>
      <c r="G83" s="156" t="s">
        <v>608</v>
      </c>
      <c r="H83" s="35"/>
      <c r="I83" s="39">
        <v>0.37</v>
      </c>
      <c r="J83" s="30"/>
      <c r="K83" s="22">
        <f>F83*H83*I83</f>
        <v>0</v>
      </c>
    </row>
    <row r="84" spans="5:11" ht="12.75">
      <c r="E84" s="8"/>
      <c r="F84" s="8"/>
      <c r="G84" s="156"/>
      <c r="H84" s="8"/>
      <c r="I84" s="8"/>
      <c r="J84" s="8"/>
      <c r="K84" s="22"/>
    </row>
    <row r="85" spans="2:11" ht="12.75">
      <c r="B85" s="330" t="s">
        <v>609</v>
      </c>
      <c r="C85" s="118"/>
      <c r="D85" s="118"/>
      <c r="E85" s="147"/>
      <c r="F85" s="148"/>
      <c r="G85" s="148"/>
      <c r="H85" s="148"/>
      <c r="I85" s="148"/>
      <c r="J85" s="148"/>
      <c r="K85" s="150">
        <f>SUM(K66:K84)</f>
        <v>60912.324</v>
      </c>
    </row>
    <row r="86" spans="5:11" ht="12.75">
      <c r="E86" s="8"/>
      <c r="F86" s="8"/>
      <c r="G86" s="8"/>
      <c r="H86" s="8"/>
      <c r="I86" s="8"/>
      <c r="J86" s="8"/>
      <c r="K86" s="22"/>
    </row>
    <row r="87" spans="5:11" ht="12.75">
      <c r="E87" s="8"/>
      <c r="F87" s="8"/>
      <c r="G87" s="8"/>
      <c r="H87" s="8"/>
      <c r="I87" s="8"/>
      <c r="J87" s="8"/>
      <c r="K87" s="22"/>
    </row>
    <row r="88" spans="2:11" ht="12.75">
      <c r="B88" s="332" t="s">
        <v>610</v>
      </c>
      <c r="C88" s="108"/>
      <c r="D88" s="108"/>
      <c r="E88" s="121"/>
      <c r="F88" s="177"/>
      <c r="G88" s="177"/>
      <c r="H88" s="177"/>
      <c r="I88" s="177"/>
      <c r="J88" s="177"/>
      <c r="K88" s="131">
        <f>K85+K56+K29</f>
        <v>-6224132.016</v>
      </c>
    </row>
  </sheetData>
  <sheetProtection/>
  <protectedRanges>
    <protectedRange sqref="J69" name="Alue9"/>
    <protectedRange sqref="H66:H83" name="Alue8"/>
    <protectedRange sqref="F66:F83" name="Alue7"/>
    <protectedRange sqref="F54" name="Alue6"/>
    <protectedRange sqref="I37:I54" name="Alue5"/>
    <protectedRange sqref="F37:F45" name="Alue4"/>
    <protectedRange sqref="G26" name="Alue3"/>
    <protectedRange sqref="K18:K22" name="Alue2"/>
    <protectedRange sqref="F12:F13" name="Alue1"/>
  </protectedRanges>
  <mergeCells count="1">
    <mergeCell ref="B3:K3"/>
  </mergeCells>
  <printOptions/>
  <pageMargins left="0.75" right="0.75" top="1" bottom="1" header="0.4921259845" footer="0.4921259845"/>
  <pageSetup fitToHeight="0" fitToWidth="1" horizontalDpi="600" verticalDpi="600" orientation="portrait" paperSize="9" scale="86" r:id="rId3"/>
  <rowBreaks count="1" manualBreakCount="1">
    <brk id="59"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Jouko HeikkiläJan Björkwall</Manager>
  <Company>Kuntaliitto/Kuntatalous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Förhandsifylld kalkyleringsmodell för statsandelar 2013</dc:title>
  <dc:subject/>
  <dc:creator>Björkwall Jan</dc:creator>
  <cp:keywords>Valtionosuudet</cp:keywords>
  <dc:description/>
  <cp:lastModifiedBy>Strandberg Benjamin</cp:lastModifiedBy>
  <cp:lastPrinted>2012-07-09T12:40:30Z</cp:lastPrinted>
  <dcterms:created xsi:type="dcterms:W3CDTF">2009-11-13T07:40:31Z</dcterms:created>
  <dcterms:modified xsi:type="dcterms:W3CDTF">2012-10-15T07:07:18Z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G94TWSLYV3F3-8315-5</vt:lpwstr>
  </property>
  <property fmtid="{D5CDD505-2E9C-101B-9397-08002B2CF9AE}" pid="3" name="_dlc_DocIdItemGuid">
    <vt:lpwstr>91bc61a3-4442-4e74-8506-c03808b7e165</vt:lpwstr>
  </property>
  <property fmtid="{D5CDD505-2E9C-101B-9397-08002B2CF9AE}" pid="4" name="_dlc_DocIdUrl">
    <vt:lpwstr>http://www.kommunerna.net/sv/sakkunnigtjanster/ekonomi/statsandelar/statsandelarberakningar-aren-2012-2010/statsandelarna-2013/kalkyleringsmodell-2013/_layouts/DocIdRedir.aspx?ID=G94TWSLYV3F3-8315-5, G94TWSLYV3F3-8315-5</vt:lpwstr>
  </property>
  <property fmtid="{D5CDD505-2E9C-101B-9397-08002B2CF9AE}" pid="5" name="Theme">
    <vt:lpwstr/>
  </property>
  <property fmtid="{D5CDD505-2E9C-101B-9397-08002B2CF9AE}" pid="6" name="ExpertService">
    <vt:lpwstr>7;#Kommunalekonomi|f60f4e25-53fd-466c-b326-d92406949689</vt:lpwstr>
  </property>
  <property fmtid="{D5CDD505-2E9C-101B-9397-08002B2CF9AE}" pid="7" name="TaxCatchAll">
    <vt:lpwstr>7;#Kommunalekonomi|f60f4e25-53fd-466c-b326-d92406949689;#11;#Svenska|a7556f13-350d-4712-9a56-592c6fe49eb1</vt:lpwstr>
  </property>
  <property fmtid="{D5CDD505-2E9C-101B-9397-08002B2CF9AE}" pid="8" name="KN2Keywords">
    <vt:lpwstr/>
  </property>
  <property fmtid="{D5CDD505-2E9C-101B-9397-08002B2CF9AE}" pid="9" name="KN2Description">
    <vt:lpwstr>Kalkyleringsmodellen uppdaterad 17.9.2012  </vt:lpwstr>
  </property>
  <property fmtid="{D5CDD505-2E9C-101B-9397-08002B2CF9AE}" pid="10" name="KN2LanguageTaxHTField0">
    <vt:lpwstr>Svenska|a7556f13-350d-4712-9a56-592c6fe49eb1</vt:lpwstr>
  </property>
  <property fmtid="{D5CDD505-2E9C-101B-9397-08002B2CF9AE}" pid="11" name="Municipality">
    <vt:lpwstr/>
  </property>
  <property fmtid="{D5CDD505-2E9C-101B-9397-08002B2CF9AE}" pid="12" name="ThemeTaxHTField0">
    <vt:lpwstr/>
  </property>
  <property fmtid="{D5CDD505-2E9C-101B-9397-08002B2CF9AE}" pid="13" name="MunicipalityTaxHTField0">
    <vt:lpwstr/>
  </property>
  <property fmtid="{D5CDD505-2E9C-101B-9397-08002B2CF9AE}" pid="14" name="ExpertServiceTaxHTField0">
    <vt:lpwstr>Kommunalekonomi|f60f4e25-53fd-466c-b326-d92406949689</vt:lpwstr>
  </property>
  <property fmtid="{D5CDD505-2E9C-101B-9397-08002B2CF9AE}" pid="15" name="KN2KeywordsTaxHTField0">
    <vt:lpwstr/>
  </property>
  <property fmtid="{D5CDD505-2E9C-101B-9397-08002B2CF9AE}" pid="16" name="KN2ArticleDateTime">
    <vt:lpwstr>2012-10-04T10:36:00Z</vt:lpwstr>
  </property>
  <property fmtid="{D5CDD505-2E9C-101B-9397-08002B2CF9AE}" pid="17" name="KN2Language">
    <vt:lpwstr>11;#Svenska|a7556f13-350d-4712-9a56-592c6fe49eb1</vt:lpwstr>
  </property>
</Properties>
</file>